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courses\GS151\EnergyBudget2017Update\"/>
    </mc:Choice>
  </mc:AlternateContent>
  <bookViews>
    <workbookView xWindow="0" yWindow="0" windowWidth="20490" windowHeight="7530"/>
  </bookViews>
  <sheets>
    <sheet name="Sheet1" sheetId="1" r:id="rId1"/>
  </sheets>
  <calcPr calcId="171027"/>
  <fileRecoveryPr autoRecover="0"/>
</workbook>
</file>

<file path=xl/calcChain.xml><?xml version="1.0" encoding="utf-8"?>
<calcChain xmlns="http://schemas.openxmlformats.org/spreadsheetml/2006/main">
  <c r="J55" i="1" l="1"/>
  <c r="J54" i="1"/>
  <c r="L94" i="1"/>
  <c r="M94" i="1"/>
  <c r="N94" i="1"/>
  <c r="O94" i="1"/>
  <c r="P94" i="1"/>
  <c r="Q94" i="1"/>
  <c r="L95" i="1"/>
  <c r="M95" i="1"/>
  <c r="N95" i="1"/>
  <c r="O95" i="1"/>
  <c r="P95" i="1"/>
  <c r="Q95" i="1"/>
  <c r="I84" i="1"/>
  <c r="I85" i="1"/>
  <c r="I86" i="1"/>
  <c r="I87" i="1"/>
  <c r="I88" i="1"/>
  <c r="I89" i="1"/>
  <c r="I90" i="1"/>
  <c r="I91" i="1"/>
  <c r="I92" i="1"/>
  <c r="I93" i="1"/>
  <c r="I94" i="1"/>
  <c r="I95" i="1"/>
  <c r="P54" i="1" l="1"/>
  <c r="Q54" i="1" s="1"/>
  <c r="O54" i="1"/>
  <c r="N54" i="1"/>
  <c r="M54" i="1"/>
  <c r="L54" i="1"/>
  <c r="O52" i="1"/>
  <c r="N52" i="1"/>
  <c r="M52" i="1"/>
  <c r="L52" i="1"/>
  <c r="P93" i="1"/>
  <c r="Q93" i="1" s="1"/>
  <c r="O93" i="1"/>
  <c r="N93" i="1"/>
  <c r="M93" i="1"/>
  <c r="L93" i="1"/>
  <c r="Q92" i="1"/>
  <c r="P92" i="1"/>
  <c r="O92" i="1"/>
  <c r="N92" i="1"/>
  <c r="M92" i="1"/>
  <c r="L92" i="1"/>
  <c r="P91" i="1"/>
  <c r="Q91" i="1" s="1"/>
  <c r="O91" i="1"/>
  <c r="N91" i="1"/>
  <c r="M91" i="1"/>
  <c r="L91" i="1"/>
  <c r="Q90" i="1"/>
  <c r="P90" i="1"/>
  <c r="O90" i="1"/>
  <c r="N90" i="1"/>
  <c r="M90" i="1"/>
  <c r="L90" i="1"/>
  <c r="P89" i="1"/>
  <c r="Q89" i="1" s="1"/>
  <c r="O89" i="1"/>
  <c r="N89" i="1"/>
  <c r="M89" i="1"/>
  <c r="L89" i="1"/>
  <c r="Q88" i="1"/>
  <c r="P88" i="1"/>
  <c r="O88" i="1"/>
  <c r="N88" i="1"/>
  <c r="M88" i="1"/>
  <c r="L88" i="1"/>
  <c r="P87" i="1"/>
  <c r="Q87" i="1" s="1"/>
  <c r="O87" i="1"/>
  <c r="N87" i="1"/>
  <c r="M87" i="1"/>
  <c r="L87" i="1"/>
  <c r="Q86" i="1"/>
  <c r="P86" i="1"/>
  <c r="O86" i="1"/>
  <c r="N86" i="1"/>
  <c r="M86" i="1"/>
  <c r="L86" i="1"/>
  <c r="P85" i="1"/>
  <c r="Q85" i="1" s="1"/>
  <c r="O85" i="1"/>
  <c r="N85" i="1"/>
  <c r="M85" i="1"/>
  <c r="L85" i="1"/>
  <c r="Q84" i="1"/>
  <c r="P84" i="1"/>
  <c r="O84" i="1"/>
  <c r="N84" i="1"/>
  <c r="M84" i="1"/>
  <c r="L84" i="1"/>
  <c r="P83" i="1"/>
  <c r="Q83" i="1" s="1"/>
  <c r="O83" i="1"/>
  <c r="N83" i="1"/>
  <c r="M83" i="1"/>
  <c r="L83" i="1"/>
  <c r="Q82" i="1"/>
  <c r="P82" i="1"/>
  <c r="O82" i="1"/>
  <c r="N82" i="1"/>
  <c r="M82" i="1"/>
  <c r="L82" i="1"/>
  <c r="P81" i="1"/>
  <c r="Q81" i="1" s="1"/>
  <c r="O81" i="1"/>
  <c r="N81" i="1"/>
  <c r="M81" i="1"/>
  <c r="L81" i="1"/>
  <c r="Q80" i="1"/>
  <c r="P80" i="1"/>
  <c r="O80" i="1"/>
  <c r="N80" i="1"/>
  <c r="M80" i="1"/>
  <c r="L80" i="1"/>
  <c r="P79" i="1"/>
  <c r="Q79" i="1" s="1"/>
  <c r="O79" i="1"/>
  <c r="N79" i="1"/>
  <c r="M79" i="1"/>
  <c r="L79" i="1"/>
  <c r="Q78" i="1"/>
  <c r="P78" i="1"/>
  <c r="O78" i="1"/>
  <c r="N78" i="1"/>
  <c r="M78" i="1"/>
  <c r="L78" i="1"/>
  <c r="P77" i="1"/>
  <c r="Q77" i="1" s="1"/>
  <c r="O77" i="1"/>
  <c r="N77" i="1"/>
  <c r="M77" i="1"/>
  <c r="L77" i="1"/>
  <c r="Q76" i="1"/>
  <c r="P76" i="1"/>
  <c r="O76" i="1"/>
  <c r="N76" i="1"/>
  <c r="M76" i="1"/>
  <c r="L76" i="1"/>
  <c r="P75" i="1"/>
  <c r="Q75" i="1" s="1"/>
  <c r="O75" i="1"/>
  <c r="N75" i="1"/>
  <c r="M75" i="1"/>
  <c r="L75" i="1"/>
  <c r="Q74" i="1"/>
  <c r="P74" i="1"/>
  <c r="O74" i="1"/>
  <c r="N74" i="1"/>
  <c r="M74" i="1"/>
  <c r="L74" i="1"/>
  <c r="P73" i="1"/>
  <c r="Q73" i="1" s="1"/>
  <c r="O73" i="1"/>
  <c r="N73" i="1"/>
  <c r="M73" i="1"/>
  <c r="L73" i="1"/>
  <c r="Q72" i="1"/>
  <c r="P72" i="1"/>
  <c r="O72" i="1"/>
  <c r="N72" i="1"/>
  <c r="M72" i="1"/>
  <c r="L72" i="1"/>
  <c r="P71" i="1"/>
  <c r="Q71" i="1" s="1"/>
  <c r="O71" i="1"/>
  <c r="N71" i="1"/>
  <c r="M71" i="1"/>
  <c r="L71" i="1"/>
  <c r="Q70" i="1"/>
  <c r="P70" i="1"/>
  <c r="O70" i="1"/>
  <c r="N70" i="1"/>
  <c r="M70" i="1"/>
  <c r="L70" i="1"/>
  <c r="P69" i="1"/>
  <c r="Q69" i="1" s="1"/>
  <c r="O69" i="1"/>
  <c r="N69" i="1"/>
  <c r="M69" i="1"/>
  <c r="L69" i="1"/>
  <c r="Q68" i="1"/>
  <c r="P68" i="1"/>
  <c r="O68" i="1"/>
  <c r="N68" i="1"/>
  <c r="M68" i="1"/>
  <c r="L68" i="1"/>
  <c r="P67" i="1"/>
  <c r="Q67" i="1" s="1"/>
  <c r="O67" i="1"/>
  <c r="N67" i="1"/>
  <c r="M67" i="1"/>
  <c r="L67" i="1"/>
  <c r="Q66" i="1"/>
  <c r="P66" i="1"/>
  <c r="O66" i="1"/>
  <c r="N66" i="1"/>
  <c r="M66" i="1"/>
  <c r="L66" i="1"/>
  <c r="P65" i="1"/>
  <c r="Q65" i="1" s="1"/>
  <c r="O65" i="1"/>
  <c r="N65" i="1"/>
  <c r="M65" i="1"/>
  <c r="L65" i="1"/>
  <c r="Q64" i="1"/>
  <c r="P64" i="1"/>
  <c r="O64" i="1"/>
  <c r="N64" i="1"/>
  <c r="M64" i="1"/>
  <c r="L64" i="1"/>
  <c r="P63" i="1"/>
  <c r="Q63" i="1" s="1"/>
  <c r="O63" i="1"/>
  <c r="N63" i="1"/>
  <c r="M63" i="1"/>
  <c r="L63" i="1"/>
  <c r="Q62" i="1"/>
  <c r="P62" i="1"/>
  <c r="O62" i="1"/>
  <c r="N62" i="1"/>
  <c r="M62" i="1"/>
  <c r="L62" i="1"/>
  <c r="P61" i="1"/>
  <c r="Q61" i="1" s="1"/>
  <c r="O61" i="1"/>
  <c r="N61" i="1"/>
  <c r="M61" i="1"/>
  <c r="L61" i="1"/>
  <c r="Q60" i="1"/>
  <c r="P60" i="1"/>
  <c r="O60" i="1"/>
  <c r="N60" i="1"/>
  <c r="M60" i="1"/>
  <c r="L60" i="1"/>
  <c r="P59" i="1"/>
  <c r="Q59" i="1" s="1"/>
  <c r="O59" i="1"/>
  <c r="N59" i="1"/>
  <c r="M59" i="1"/>
  <c r="L59" i="1"/>
  <c r="Q58" i="1"/>
  <c r="P58" i="1"/>
  <c r="O58" i="1"/>
  <c r="N58" i="1"/>
  <c r="M58" i="1"/>
  <c r="L58" i="1"/>
  <c r="P57" i="1"/>
  <c r="Q57" i="1" s="1"/>
  <c r="O57" i="1"/>
  <c r="N57" i="1"/>
  <c r="M57" i="1"/>
  <c r="L57" i="1"/>
  <c r="Q56" i="1"/>
  <c r="P56" i="1"/>
  <c r="O56" i="1"/>
  <c r="N56" i="1"/>
  <c r="M56" i="1"/>
  <c r="L56" i="1"/>
  <c r="P55" i="1"/>
  <c r="Q55" i="1" s="1"/>
  <c r="O55" i="1"/>
  <c r="N55" i="1"/>
  <c r="M55" i="1"/>
  <c r="L55" i="1"/>
  <c r="I43" i="1"/>
  <c r="K43" i="1"/>
  <c r="I44" i="1"/>
  <c r="K44" i="1"/>
  <c r="I45" i="1"/>
  <c r="K45" i="1"/>
  <c r="I46" i="1"/>
  <c r="K46" i="1"/>
  <c r="I47" i="1"/>
  <c r="K47" i="1"/>
  <c r="I48" i="1"/>
  <c r="K48" i="1"/>
  <c r="I49" i="1"/>
  <c r="K49" i="1"/>
  <c r="I50" i="1"/>
  <c r="K50" i="1"/>
  <c r="I51" i="1"/>
  <c r="K51" i="1"/>
  <c r="I52" i="1"/>
  <c r="K52" i="1"/>
  <c r="I54" i="1"/>
  <c r="K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C97" i="1"/>
  <c r="D97" i="1"/>
  <c r="E97" i="1"/>
  <c r="A60" i="1" l="1"/>
  <c r="H42" i="1"/>
  <c r="H41" i="1"/>
  <c r="H40" i="1"/>
  <c r="H39" i="1"/>
  <c r="H38" i="1"/>
  <c r="G42" i="1"/>
  <c r="G41" i="1"/>
  <c r="G40" i="1"/>
  <c r="G39" i="1"/>
  <c r="G38" i="1"/>
  <c r="F42" i="1"/>
  <c r="F41" i="1"/>
  <c r="F40" i="1"/>
  <c r="F39" i="1"/>
  <c r="F38" i="1"/>
  <c r="E42" i="1"/>
  <c r="E41" i="1"/>
  <c r="E40" i="1"/>
  <c r="E39" i="1"/>
  <c r="E38" i="1"/>
  <c r="D42" i="1"/>
  <c r="D41" i="1"/>
  <c r="D40" i="1"/>
  <c r="D39" i="1"/>
  <c r="D38" i="1"/>
  <c r="C42" i="1"/>
  <c r="C41" i="1"/>
  <c r="C40" i="1"/>
  <c r="C39" i="1"/>
  <c r="C38" i="1"/>
  <c r="I34" i="1"/>
  <c r="K34" i="1" s="1"/>
  <c r="I35" i="1"/>
  <c r="K35" i="1"/>
  <c r="I36" i="1"/>
  <c r="K36" i="1" s="1"/>
  <c r="I37" i="1"/>
  <c r="K37" i="1" s="1"/>
  <c r="I32" i="1"/>
  <c r="K32" i="1" s="1"/>
  <c r="I3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4" i="1"/>
  <c r="K4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55" i="1" l="1"/>
  <c r="J56" i="1"/>
  <c r="L42" i="1"/>
  <c r="I39" i="1"/>
  <c r="K39" i="1" s="1"/>
  <c r="O42" i="1"/>
  <c r="N42" i="1"/>
  <c r="I41" i="1"/>
  <c r="K41" i="1" s="1"/>
  <c r="I38" i="1"/>
  <c r="K38" i="1" s="1"/>
  <c r="I42" i="1"/>
  <c r="K42" i="1" s="1"/>
  <c r="I40" i="1"/>
  <c r="K40" i="1" s="1"/>
  <c r="M42" i="1"/>
  <c r="K56" i="1" l="1"/>
  <c r="J57" i="1"/>
  <c r="J58" i="1" l="1"/>
  <c r="K57" i="1"/>
  <c r="J59" i="1" l="1"/>
  <c r="K58" i="1"/>
  <c r="K59" i="1" l="1"/>
  <c r="J60" i="1"/>
  <c r="K60" i="1" l="1"/>
  <c r="J61" i="1"/>
  <c r="J62" i="1" l="1"/>
  <c r="K61" i="1"/>
  <c r="J63" i="1" l="1"/>
  <c r="K62" i="1"/>
  <c r="K63" i="1" l="1"/>
  <c r="J64" i="1"/>
  <c r="K64" i="1" l="1"/>
  <c r="J65" i="1"/>
  <c r="J66" i="1" l="1"/>
  <c r="K65" i="1"/>
  <c r="J67" i="1" l="1"/>
  <c r="K66" i="1"/>
  <c r="K67" i="1" l="1"/>
  <c r="J68" i="1"/>
  <c r="K68" i="1" l="1"/>
  <c r="J69" i="1"/>
  <c r="J70" i="1" l="1"/>
  <c r="K69" i="1"/>
  <c r="J71" i="1" l="1"/>
  <c r="K70" i="1"/>
  <c r="K71" i="1" l="1"/>
  <c r="J72" i="1"/>
  <c r="K72" i="1" l="1"/>
  <c r="J73" i="1"/>
  <c r="J74" i="1" l="1"/>
  <c r="K73" i="1"/>
  <c r="J75" i="1" l="1"/>
  <c r="K74" i="1"/>
  <c r="K75" i="1" l="1"/>
  <c r="J76" i="1"/>
  <c r="K76" i="1" l="1"/>
  <c r="J77" i="1"/>
  <c r="J78" i="1" l="1"/>
  <c r="K77" i="1"/>
  <c r="J79" i="1" l="1"/>
  <c r="K78" i="1"/>
  <c r="K79" i="1" l="1"/>
  <c r="J80" i="1"/>
  <c r="K80" i="1" l="1"/>
  <c r="J81" i="1"/>
  <c r="J82" i="1" l="1"/>
  <c r="K81" i="1"/>
  <c r="J83" i="1" l="1"/>
  <c r="J84" i="1" s="1"/>
  <c r="K82" i="1"/>
  <c r="J85" i="1" l="1"/>
  <c r="K84" i="1"/>
  <c r="K83" i="1"/>
  <c r="A62" i="1"/>
  <c r="J86" i="1" l="1"/>
  <c r="K85" i="1"/>
  <c r="J87" i="1" l="1"/>
  <c r="K86" i="1"/>
  <c r="J88" i="1" l="1"/>
  <c r="K87" i="1"/>
  <c r="J89" i="1" l="1"/>
  <c r="K88" i="1"/>
  <c r="J90" i="1" l="1"/>
  <c r="K89" i="1"/>
  <c r="J91" i="1" l="1"/>
  <c r="K90" i="1"/>
  <c r="J92" i="1" l="1"/>
  <c r="K91" i="1"/>
  <c r="J93" i="1" l="1"/>
  <c r="K92" i="1"/>
  <c r="J94" i="1" l="1"/>
  <c r="K93" i="1"/>
  <c r="J95" i="1" l="1"/>
  <c r="K95" i="1" s="1"/>
  <c r="K94" i="1"/>
</calcChain>
</file>

<file path=xl/comments1.xml><?xml version="1.0" encoding="utf-8"?>
<comments xmlns="http://schemas.openxmlformats.org/spreadsheetml/2006/main">
  <authors>
    <author>Greg S. Mulder</author>
    <author>Gregory Mulder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Greg S. Mulder:</t>
        </r>
        <r>
          <rPr>
            <sz val="9"/>
            <color indexed="81"/>
            <rFont val="Tahoma"/>
            <family val="2"/>
          </rPr>
          <t xml:space="preserve">
2017 Source:  United Nations Population Division
https://esa.un.org/unpd/wpp/Download/Standard/Population/</t>
        </r>
      </text>
    </comment>
    <comment ref="D102" authorId="1" shapeId="0">
      <text>
        <r>
          <rPr>
            <b/>
            <sz val="8"/>
            <color indexed="81"/>
            <rFont val="Tahoma"/>
            <family val="2"/>
          </rPr>
          <t xml:space="preserve">Source:  Cambell and LaHerrere, Scientific American, March 1998.  They state the P50 reserve value is 850 Gbo = 1445 PW*hrs.  I estimate that the recoverable economic supply is 670 PW*hrs.
</t>
        </r>
      </text>
    </comment>
    <comment ref="D103" authorId="1" shapeId="0">
      <text>
        <r>
          <rPr>
            <b/>
            <sz val="8"/>
            <color indexed="81"/>
            <rFont val="Tahoma"/>
            <family val="2"/>
          </rPr>
          <t xml:space="preserve">Source:  Fouda, "Scientific American", March 1998
</t>
        </r>
      </text>
    </comment>
  </commentList>
</comments>
</file>

<file path=xl/sharedStrings.xml><?xml version="1.0" encoding="utf-8"?>
<sst xmlns="http://schemas.openxmlformats.org/spreadsheetml/2006/main" count="128" uniqueCount="107">
  <si>
    <t>you must pay an equivalent of 0.25% for</t>
  </si>
  <si>
    <t>The Energy Budget</t>
  </si>
  <si>
    <t>articles pertaining to Energy in Albania.)</t>
  </si>
  <si>
    <t>#Nuclear Reactors Built</t>
  </si>
  <si>
    <t>Coal Plants Built</t>
  </si>
  <si>
    <t>rate goal is set at:</t>
  </si>
  <si>
    <t>Currently, your 2040 population growth</t>
  </si>
  <si>
    <r>
      <t xml:space="preserve">2040.  </t>
    </r>
    <r>
      <rPr>
        <b/>
        <i/>
        <sz val="10"/>
        <rFont val="Arial"/>
        <family val="2"/>
      </rPr>
      <t>Warning:</t>
    </r>
    <r>
      <rPr>
        <sz val="10"/>
        <rFont val="Arial"/>
        <family val="2"/>
      </rPr>
      <t xml:space="preserve">  If your budgeting or</t>
    </r>
  </si>
  <si>
    <t>Oil:  670 PW*Hrs</t>
  </si>
  <si>
    <t>Sources:  Kraushaar/Ristinen "Energy and Problems</t>
  </si>
  <si>
    <t xml:space="preserve"> of a Technical Society" 1993 and Scientific American, March 1998.</t>
  </si>
  <si>
    <t xml:space="preserve">growth rate of 1.8%.  This is equal to a </t>
  </si>
  <si>
    <t>J</t>
  </si>
  <si>
    <t>kWh</t>
  </si>
  <si>
    <t>btu</t>
  </si>
  <si>
    <t>Crude Petroleum (42 gallon barrel)</t>
  </si>
  <si>
    <t>6.12*10^9</t>
  </si>
  <si>
    <t>5.8*10^-4</t>
  </si>
  <si>
    <t>Bituminous coal (1 ton=2000lb=0.907tonne)</t>
  </si>
  <si>
    <t>2.81*10^10</t>
  </si>
  <si>
    <t>2.66*10^7</t>
  </si>
  <si>
    <t>Natural gas (1000 cubic feet @ STP)</t>
  </si>
  <si>
    <t>1.09*10^9</t>
  </si>
  <si>
    <t>1.035*10^6</t>
  </si>
  <si>
    <t>Gasoline (1 US gallon=0.83UK/Canada/Imperial gallons)</t>
  </si>
  <si>
    <t>1.32*10^8</t>
  </si>
  <si>
    <t>1.25*10^5</t>
  </si>
  <si>
    <t>Uranium235 (1 gram)</t>
  </si>
  <si>
    <t>8.28*10^10</t>
  </si>
  <si>
    <t>2.30*10^4</t>
  </si>
  <si>
    <t>7.84*10^7</t>
  </si>
  <si>
    <t>Deuterium (1 gram)</t>
  </si>
  <si>
    <t>2.38*10^11</t>
  </si>
  <si>
    <t>6.6*10^4</t>
  </si>
  <si>
    <t>2.25*10^8</t>
  </si>
  <si>
    <t>There is a useful Energy Industry Conversion page available at http://www.eppo.go.th/ref/UNIT-OIL.html</t>
  </si>
  <si>
    <t>Or a 2044 Population of:</t>
  </si>
  <si>
    <r>
      <t xml:space="preserve">Coal: </t>
    </r>
    <r>
      <rPr>
        <b/>
        <sz val="10"/>
        <color indexed="10"/>
        <rFont val="Arial"/>
        <family val="2"/>
      </rPr>
      <t xml:space="preserve"> 53,000 PW*Hrs</t>
    </r>
  </si>
  <si>
    <t xml:space="preserve">In 2005 you are elected Energy Czar of the </t>
  </si>
  <si>
    <t>Year</t>
  </si>
  <si>
    <t>Oil</t>
  </si>
  <si>
    <t>Gas</t>
  </si>
  <si>
    <t>Coal</t>
  </si>
  <si>
    <t>Wind</t>
  </si>
  <si>
    <t>Solar</t>
  </si>
  <si>
    <t>Nuclear</t>
  </si>
  <si>
    <t>Total</t>
  </si>
  <si>
    <t>Global Pop.</t>
  </si>
  <si>
    <t>PerCap Energy</t>
  </si>
  <si>
    <t>PW*hrs</t>
  </si>
  <si>
    <t>Millions of People</t>
  </si>
  <si>
    <t>KW*hours per person</t>
  </si>
  <si>
    <t>Estimated Amount of Remaining</t>
  </si>
  <si>
    <t>Non-Renewable Resources</t>
  </si>
  <si>
    <t>Gas:  450 PW*Hrs</t>
  </si>
  <si>
    <t>Coal:  53,600 PW*Hrs</t>
  </si>
  <si>
    <t>You may raise or lower this birthrate by</t>
  </si>
  <si>
    <t>changing the average family size as follows:</t>
  </si>
  <si>
    <t>2.1 kids/woman = no growth</t>
  </si>
  <si>
    <t>1.9 kids/woman = -0.4%</t>
  </si>
  <si>
    <t>2.9 kids/woman = 2.7%</t>
  </si>
  <si>
    <t>3.1 kids/woman = 3.5%</t>
  </si>
  <si>
    <t>Remember your limits:</t>
  </si>
  <si>
    <t>planet.  Your job is to manage the planet's</t>
  </si>
  <si>
    <t xml:space="preserve">remaining non-renewable energy resources </t>
  </si>
  <si>
    <t>and project how new energy resources</t>
  </si>
  <si>
    <t>will be utilized.</t>
  </si>
  <si>
    <t>life.  Thus, you are in charge of how the</t>
  </si>
  <si>
    <t>resources will be spent until the year</t>
  </si>
  <si>
    <t>policies turn out to be too wildly unpopular,</t>
  </si>
  <si>
    <t>you can be unseated.  (Consult recent</t>
  </si>
  <si>
    <r>
      <t>1.</t>
    </r>
    <r>
      <rPr>
        <sz val="10"/>
        <rFont val="Arial"/>
        <family val="2"/>
      </rPr>
      <t xml:space="preserve">  You are appointed to the position for</t>
    </r>
  </si>
  <si>
    <t>supplies on the planet Earth.  You may not</t>
  </si>
  <si>
    <t>overspend these resources.</t>
  </si>
  <si>
    <r>
      <t xml:space="preserve">2. </t>
    </r>
    <r>
      <rPr>
        <sz val="10"/>
        <rFont val="Arial"/>
        <family val="2"/>
      </rPr>
      <t xml:space="preserve"> Certain energy resources come in limited</t>
    </r>
  </si>
  <si>
    <r>
      <t>3.</t>
    </r>
    <r>
      <rPr>
        <sz val="10"/>
        <rFont val="Arial"/>
        <family val="2"/>
      </rPr>
      <t xml:space="preserve">  You may increase without limit the </t>
    </r>
  </si>
  <si>
    <t xml:space="preserve">amount of energy being created by Nuclear, </t>
  </si>
  <si>
    <t>Wind, and Solar Power.  However, it may</t>
  </si>
  <si>
    <t>cost you.</t>
  </si>
  <si>
    <r>
      <t>4.</t>
    </r>
    <r>
      <rPr>
        <sz val="10"/>
        <rFont val="Arial"/>
        <family val="2"/>
      </rPr>
      <t xml:space="preserve">  Population growth:</t>
    </r>
  </si>
  <si>
    <t xml:space="preserve">The human race currently has an annual </t>
  </si>
  <si>
    <t xml:space="preserve">woman (i.e. for every one hundred women, </t>
  </si>
  <si>
    <t>collective lifetimes).</t>
  </si>
  <si>
    <t>You may add a total of 0.5 PW*hrs per year</t>
  </si>
  <si>
    <t>in new energy sources without serious cost</t>
  </si>
  <si>
    <t>0.5 PW*hrs in new sources in one year,</t>
  </si>
  <si>
    <t xml:space="preserve">to the global economy.  If you go above </t>
  </si>
  <si>
    <t>every additional 0.5 PW*hrs.</t>
  </si>
  <si>
    <t>Guidelines for the Game</t>
  </si>
  <si>
    <t>#Reactors Built</t>
  </si>
  <si>
    <t>Land Mass (Oregons)-Wind</t>
  </si>
  <si>
    <t>Land Mass (Oregons)-Solar</t>
  </si>
  <si>
    <t>Global Cost (billions of US dollars)</t>
  </si>
  <si>
    <t>Tot. Global Cost (bil.'95$US)</t>
  </si>
  <si>
    <t>Total Coal Plants built</t>
  </si>
  <si>
    <t>2.7 kids/woman = 2.0%</t>
  </si>
  <si>
    <t>2.5 kids/woman = 1.3%</t>
  </si>
  <si>
    <t>2.3 kids/woman = 0.9%</t>
  </si>
  <si>
    <t>Total Land Mass Covered (Oregons)-Wind</t>
  </si>
  <si>
    <t>Total Land Mass Covered (Oregons)-Solar</t>
  </si>
  <si>
    <t>New Energy Added</t>
  </si>
  <si>
    <t>Population</t>
  </si>
  <si>
    <t>fertility rate of about 2.6 children per</t>
  </si>
  <si>
    <t>260 children will be born to them in their</t>
  </si>
  <si>
    <r>
      <t>Global Energy Consumption Normalized (1950-2014)</t>
    </r>
    <r>
      <rPr>
        <sz val="8"/>
        <rFont val="Arial"/>
        <family val="2"/>
      </rPr>
      <t xml:space="preserve"> Sources:  Worldwatch, Vital Signs 1996 &amp; 2000 &amp; 2006; BP and EIA 2017</t>
    </r>
  </si>
  <si>
    <r>
      <t>Oil:</t>
    </r>
    <r>
      <rPr>
        <b/>
        <sz val="10"/>
        <color indexed="10"/>
        <rFont val="Arial"/>
        <family val="2"/>
      </rPr>
      <t xml:space="preserve">  690 PW*Hrs</t>
    </r>
  </si>
  <si>
    <r>
      <t xml:space="preserve">Gas: </t>
    </r>
    <r>
      <rPr>
        <b/>
        <sz val="10"/>
        <color indexed="10"/>
        <rFont val="Arial"/>
        <family val="2"/>
      </rPr>
      <t xml:space="preserve"> 530 PW*Hrs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</si>
</sst>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8"/>
      <name val="Brush Script MT"/>
      <family val="4"/>
    </font>
    <font>
      <sz val="7"/>
      <name val="Arial"/>
      <family val="2"/>
    </font>
    <font>
      <b/>
      <sz val="10"/>
      <color indexed="13"/>
      <name val="Arial"/>
      <family val="2"/>
    </font>
    <font>
      <b/>
      <sz val="12"/>
      <name val="Arial"/>
      <family val="2"/>
    </font>
    <font>
      <b/>
      <sz val="6"/>
      <color indexed="13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0" xfId="0" applyFont="1"/>
    <xf numFmtId="2" fontId="0" fillId="0" borderId="0" xfId="0" applyNumberForma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2" fillId="3" borderId="0" xfId="0" applyFont="1" applyFill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1" fillId="2" borderId="3" xfId="0" applyFont="1" applyFill="1" applyBorder="1"/>
    <xf numFmtId="0" fontId="0" fillId="0" borderId="4" xfId="0" applyBorder="1"/>
    <xf numFmtId="0" fontId="9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5" xfId="0" applyBorder="1"/>
    <xf numFmtId="0" fontId="6" fillId="0" borderId="5" xfId="0" applyFont="1" applyBorder="1" applyAlignment="1">
      <alignment horizontal="center"/>
    </xf>
    <xf numFmtId="0" fontId="5" fillId="0" borderId="5" xfId="0" applyFont="1" applyBorder="1"/>
    <xf numFmtId="0" fontId="0" fillId="0" borderId="5" xfId="0" applyBorder="1" applyAlignment="1">
      <alignment horizontal="center"/>
    </xf>
    <xf numFmtId="0" fontId="3" fillId="0" borderId="5" xfId="0" applyFont="1" applyBorder="1"/>
    <xf numFmtId="1" fontId="0" fillId="0" borderId="0" xfId="0" applyNumberFormat="1"/>
    <xf numFmtId="0" fontId="0" fillId="4" borderId="5" xfId="0" applyFill="1" applyBorder="1"/>
    <xf numFmtId="0" fontId="4" fillId="4" borderId="5" xfId="0" applyFont="1" applyFill="1" applyBorder="1"/>
    <xf numFmtId="0" fontId="11" fillId="4" borderId="5" xfId="0" applyFont="1" applyFill="1" applyBorder="1"/>
    <xf numFmtId="0" fontId="11" fillId="4" borderId="7" xfId="0" applyFont="1" applyFill="1" applyBorder="1"/>
    <xf numFmtId="0" fontId="5" fillId="0" borderId="0" xfId="0" applyFont="1" applyFill="1" applyBorder="1"/>
    <xf numFmtId="0" fontId="12" fillId="3" borderId="0" xfId="0" applyFont="1" applyFill="1" applyBorder="1" applyAlignment="1">
      <alignment horizontal="right"/>
    </xf>
    <xf numFmtId="0" fontId="10" fillId="3" borderId="0" xfId="0" applyFont="1" applyFill="1" applyBorder="1"/>
    <xf numFmtId="0" fontId="13" fillId="5" borderId="0" xfId="0" applyFont="1" applyFill="1" applyAlignment="1">
      <alignment wrapText="1"/>
    </xf>
    <xf numFmtId="0" fontId="0" fillId="0" borderId="0" xfId="0" applyBorder="1"/>
    <xf numFmtId="0" fontId="5" fillId="0" borderId="0" xfId="0" applyFont="1" applyBorder="1"/>
    <xf numFmtId="2" fontId="0" fillId="0" borderId="0" xfId="0" applyNumberFormat="1" applyBorder="1"/>
    <xf numFmtId="10" fontId="5" fillId="0" borderId="5" xfId="0" applyNumberFormat="1" applyFont="1" applyBorder="1" applyAlignment="1">
      <alignment horizontal="center"/>
    </xf>
    <xf numFmtId="0" fontId="14" fillId="0" borderId="0" xfId="0" applyFont="1"/>
    <xf numFmtId="3" fontId="5" fillId="0" borderId="5" xfId="0" applyNumberFormat="1" applyFont="1" applyBorder="1" applyAlignment="1">
      <alignment horizontal="center"/>
    </xf>
    <xf numFmtId="2" fontId="0" fillId="0" borderId="0" xfId="0" applyNumberFormat="1" applyFill="1" applyBorder="1"/>
    <xf numFmtId="0" fontId="15" fillId="0" borderId="0" xfId="0" applyFont="1"/>
    <xf numFmtId="1" fontId="7" fillId="0" borderId="0" xfId="0" applyNumberFormat="1" applyFont="1"/>
    <xf numFmtId="0" fontId="3" fillId="0" borderId="5" xfId="0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4" fillId="0" borderId="0" xfId="0" applyFont="1" applyFill="1"/>
    <xf numFmtId="0" fontId="10" fillId="0" borderId="0" xfId="0" applyFont="1" applyFill="1" applyBorder="1"/>
    <xf numFmtId="2" fontId="18" fillId="0" borderId="0" xfId="0" applyNumberFormat="1" applyFont="1"/>
    <xf numFmtId="2" fontId="19" fillId="0" borderId="0" xfId="0" applyNumberFormat="1" applyFont="1"/>
    <xf numFmtId="0" fontId="19" fillId="0" borderId="0" xfId="0" applyFont="1"/>
    <xf numFmtId="0" fontId="1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Human Energy Consumption</a:t>
            </a:r>
          </a:p>
        </c:rich>
      </c:tx>
      <c:layout>
        <c:manualLayout>
          <c:xMode val="edge"/>
          <c:yMode val="edge"/>
          <c:x val="0.20578295961227075"/>
          <c:y val="4.41191694703581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6136416971271"/>
          <c:y val="0.19608519764603613"/>
          <c:w val="0.55236478632767416"/>
          <c:h val="0.52452790370314673"/>
        </c:manualLayout>
      </c:layout>
      <c:areaChart>
        <c:grouping val="stacked"/>
        <c:varyColors val="0"/>
        <c:ser>
          <c:idx val="1"/>
          <c:order val="0"/>
          <c:tx>
            <c:v>Oil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(Sheet1!$C$4:$C$33,Sheet1!$C$43:$C$78)</c:f>
              <c:numCache>
                <c:formatCode>0.00</c:formatCode>
                <c:ptCount val="66"/>
                <c:pt idx="0">
                  <c:v>3.6363599999999998</c:v>
                </c:pt>
                <c:pt idx="1">
                  <c:v>5.384339999999999</c:v>
                </c:pt>
                <c:pt idx="2">
                  <c:v>7.3639799999999997</c:v>
                </c:pt>
                <c:pt idx="3">
                  <c:v>10.593179999999998</c:v>
                </c:pt>
                <c:pt idx="4">
                  <c:v>16.012619999999998</c:v>
                </c:pt>
                <c:pt idx="5">
                  <c:v>16.918200000000002</c:v>
                </c:pt>
                <c:pt idx="6">
                  <c:v>17.893979999999999</c:v>
                </c:pt>
                <c:pt idx="7">
                  <c:v>19.508579999999998</c:v>
                </c:pt>
                <c:pt idx="8">
                  <c:v>19.677059999999997</c:v>
                </c:pt>
                <c:pt idx="9">
                  <c:v>18.666180000000001</c:v>
                </c:pt>
                <c:pt idx="10">
                  <c:v>20.365020000000001</c:v>
                </c:pt>
                <c:pt idx="11">
                  <c:v>20.975759999999998</c:v>
                </c:pt>
                <c:pt idx="12">
                  <c:v>21.22146</c:v>
                </c:pt>
                <c:pt idx="13">
                  <c:v>21.916439999999998</c:v>
                </c:pt>
                <c:pt idx="14">
                  <c:v>20.89152</c:v>
                </c:pt>
                <c:pt idx="15">
                  <c:v>19.508579999999998</c:v>
                </c:pt>
                <c:pt idx="16">
                  <c:v>18.560879999999997</c:v>
                </c:pt>
                <c:pt idx="17">
                  <c:v>18.385379999999998</c:v>
                </c:pt>
                <c:pt idx="18">
                  <c:v>18.961020000000001</c:v>
                </c:pt>
                <c:pt idx="19">
                  <c:v>18.666180000000001</c:v>
                </c:pt>
                <c:pt idx="20">
                  <c:v>19.473479999999999</c:v>
                </c:pt>
                <c:pt idx="21">
                  <c:v>19.333079999999999</c:v>
                </c:pt>
                <c:pt idx="22">
                  <c:v>20.224619999999998</c:v>
                </c:pt>
                <c:pt idx="23">
                  <c:v>20.484359999999995</c:v>
                </c:pt>
                <c:pt idx="24">
                  <c:v>20.75112</c:v>
                </c:pt>
                <c:pt idx="25">
                  <c:v>20.554559999999999</c:v>
                </c:pt>
                <c:pt idx="26">
                  <c:v>21.052979999999998</c:v>
                </c:pt>
                <c:pt idx="27">
                  <c:v>20.75112</c:v>
                </c:pt>
                <c:pt idx="28">
                  <c:v>20.961719999999996</c:v>
                </c:pt>
                <c:pt idx="29">
                  <c:v>21.19</c:v>
                </c:pt>
                <c:pt idx="30">
                  <c:v>25.235943141680902</c:v>
                </c:pt>
                <c:pt idx="31">
                  <c:v>25.102916746703109</c:v>
                </c:pt>
                <c:pt idx="32">
                  <c:v>24.999122464571233</c:v>
                </c:pt>
                <c:pt idx="33">
                  <c:v>25.297450359754016</c:v>
                </c:pt>
                <c:pt idx="34">
                  <c:v>24.893876756269215</c:v>
                </c:pt>
                <c:pt idx="35">
                  <c:v>25.477778564537068</c:v>
                </c:pt>
                <c:pt idx="36">
                  <c:v>25.50192031923471</c:v>
                </c:pt>
                <c:pt idx="37">
                  <c:v>25.989081143047489</c:v>
                </c:pt>
                <c:pt idx="38">
                  <c:v>26.029591226955926</c:v>
                </c:pt>
                <c:pt idx="39">
                  <c:v>26.668827469695934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D-4F5A-B86F-1AEC43350438}"/>
            </c:ext>
          </c:extLst>
        </c:ser>
        <c:ser>
          <c:idx val="2"/>
          <c:order val="1"/>
          <c:tx>
            <c:v>N.Gas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(Sheet1!$D$4:$D$33,Sheet1!$D$43:$D$78)</c:f>
              <c:numCache>
                <c:formatCode>0.00</c:formatCode>
                <c:ptCount val="66"/>
                <c:pt idx="0">
                  <c:v>1.31274</c:v>
                </c:pt>
                <c:pt idx="1">
                  <c:v>2.08494</c:v>
                </c:pt>
                <c:pt idx="2">
                  <c:v>3.21516</c:v>
                </c:pt>
                <c:pt idx="3">
                  <c:v>4.6612799999999996</c:v>
                </c:pt>
                <c:pt idx="4">
                  <c:v>7.2025199999999998</c:v>
                </c:pt>
                <c:pt idx="5">
                  <c:v>7.7641200000000001</c:v>
                </c:pt>
                <c:pt idx="6">
                  <c:v>8.2134</c:v>
                </c:pt>
                <c:pt idx="7">
                  <c:v>8.7118199999999995</c:v>
                </c:pt>
                <c:pt idx="8">
                  <c:v>8.8522199999999991</c:v>
                </c:pt>
                <c:pt idx="9">
                  <c:v>8.8943399999999997</c:v>
                </c:pt>
                <c:pt idx="10">
                  <c:v>9.2663999999999991</c:v>
                </c:pt>
                <c:pt idx="11">
                  <c:v>9.5050799999999995</c:v>
                </c:pt>
                <c:pt idx="12">
                  <c:v>9.7858799999999988</c:v>
                </c:pt>
                <c:pt idx="13">
                  <c:v>10.494899999999999</c:v>
                </c:pt>
                <c:pt idx="14">
                  <c:v>10.214099999999998</c:v>
                </c:pt>
                <c:pt idx="15">
                  <c:v>10.473840000000001</c:v>
                </c:pt>
                <c:pt idx="16">
                  <c:v>10.403639999999999</c:v>
                </c:pt>
                <c:pt idx="17">
                  <c:v>10.452779999999999</c:v>
                </c:pt>
                <c:pt idx="18">
                  <c:v>11.407500000000001</c:v>
                </c:pt>
                <c:pt idx="19">
                  <c:v>11.884859999999998</c:v>
                </c:pt>
                <c:pt idx="20">
                  <c:v>12.15864</c:v>
                </c:pt>
                <c:pt idx="21">
                  <c:v>12.727259999999998</c:v>
                </c:pt>
                <c:pt idx="22">
                  <c:v>13.337999999999999</c:v>
                </c:pt>
                <c:pt idx="23">
                  <c:v>13.773239999999999</c:v>
                </c:pt>
                <c:pt idx="24">
                  <c:v>14.110199999999999</c:v>
                </c:pt>
                <c:pt idx="25">
                  <c:v>14.3559</c:v>
                </c:pt>
                <c:pt idx="26">
                  <c:v>14.3559</c:v>
                </c:pt>
                <c:pt idx="27">
                  <c:v>14.67882</c:v>
                </c:pt>
                <c:pt idx="28">
                  <c:v>14.78412</c:v>
                </c:pt>
                <c:pt idx="29">
                  <c:v>15.26</c:v>
                </c:pt>
                <c:pt idx="30">
                  <c:v>20.688915768684211</c:v>
                </c:pt>
                <c:pt idx="31">
                  <c:v>21.364758663973685</c:v>
                </c:pt>
                <c:pt idx="32">
                  <c:v>21.880490701999999</c:v>
                </c:pt>
                <c:pt idx="33">
                  <c:v>22.229187609921055</c:v>
                </c:pt>
                <c:pt idx="34">
                  <c:v>22.61959789276316</c:v>
                </c:pt>
                <c:pt idx="35">
                  <c:v>23.472181077157892</c:v>
                </c:pt>
                <c:pt idx="36">
                  <c:v>24.062416572710525</c:v>
                </c:pt>
                <c:pt idx="37">
                  <c:v>25.081062429552631</c:v>
                </c:pt>
                <c:pt idx="38">
                  <c:v>25.383601793894737</c:v>
                </c:pt>
                <c:pt idx="39">
                  <c:v>26.599903186842106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D-4F5A-B86F-1AEC43350438}"/>
            </c:ext>
          </c:extLst>
        </c:ser>
        <c:ser>
          <c:idx val="3"/>
          <c:order val="2"/>
          <c:tx>
            <c:v>Coal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(Sheet1!$E$4:$E$33,Sheet1!$E$43:$E$78)</c:f>
              <c:numCache>
                <c:formatCode>0.00</c:formatCode>
                <c:ptCount val="66"/>
                <c:pt idx="0">
                  <c:v>6.2056799999999992</c:v>
                </c:pt>
                <c:pt idx="1">
                  <c:v>7.3358999999999996</c:v>
                </c:pt>
                <c:pt idx="2">
                  <c:v>8.9224200000000007</c:v>
                </c:pt>
                <c:pt idx="3">
                  <c:v>9.1189799999999988</c:v>
                </c:pt>
                <c:pt idx="4">
                  <c:v>9.5401799999999994</c:v>
                </c:pt>
                <c:pt idx="5">
                  <c:v>9.5120999999999984</c:v>
                </c:pt>
                <c:pt idx="6">
                  <c:v>9.5120999999999984</c:v>
                </c:pt>
                <c:pt idx="7">
                  <c:v>9.9192599999999995</c:v>
                </c:pt>
                <c:pt idx="8">
                  <c:v>10.06668</c:v>
                </c:pt>
                <c:pt idx="9">
                  <c:v>10.179</c:v>
                </c:pt>
                <c:pt idx="10">
                  <c:v>10.705500000000001</c:v>
                </c:pt>
                <c:pt idx="11">
                  <c:v>11.098619999999999</c:v>
                </c:pt>
                <c:pt idx="12">
                  <c:v>11.337299999999999</c:v>
                </c:pt>
                <c:pt idx="13">
                  <c:v>11.800619999999999</c:v>
                </c:pt>
                <c:pt idx="14">
                  <c:v>11.990159999999999</c:v>
                </c:pt>
                <c:pt idx="15">
                  <c:v>12.15864</c:v>
                </c:pt>
                <c:pt idx="16">
                  <c:v>12.292019999999999</c:v>
                </c:pt>
                <c:pt idx="17">
                  <c:v>12.66408</c:v>
                </c:pt>
                <c:pt idx="18">
                  <c:v>13.176539999999999</c:v>
                </c:pt>
                <c:pt idx="19">
                  <c:v>13.899599999999998</c:v>
                </c:pt>
                <c:pt idx="20">
                  <c:v>14.047019999999998</c:v>
                </c:pt>
                <c:pt idx="21">
                  <c:v>14.475239999999999</c:v>
                </c:pt>
                <c:pt idx="22">
                  <c:v>15.32466</c:v>
                </c:pt>
                <c:pt idx="23">
                  <c:v>15.366779999999999</c:v>
                </c:pt>
                <c:pt idx="24">
                  <c:v>14.805179999999998</c:v>
                </c:pt>
                <c:pt idx="25">
                  <c:v>14.559479999999999</c:v>
                </c:pt>
                <c:pt idx="26">
                  <c:v>14.727959999999999</c:v>
                </c:pt>
                <c:pt idx="27">
                  <c:v>14.636699999999999</c:v>
                </c:pt>
                <c:pt idx="28">
                  <c:v>14.706899999999999</c:v>
                </c:pt>
                <c:pt idx="29">
                  <c:v>14.93</c:v>
                </c:pt>
                <c:pt idx="30">
                  <c:v>19.422221470588234</c:v>
                </c:pt>
                <c:pt idx="31">
                  <c:v>20.657192058823533</c:v>
                </c:pt>
                <c:pt idx="32">
                  <c:v>21.529420588235293</c:v>
                </c:pt>
                <c:pt idx="33">
                  <c:v>22.248993823529414</c:v>
                </c:pt>
                <c:pt idx="34">
                  <c:v>22.732891176470588</c:v>
                </c:pt>
                <c:pt idx="35">
                  <c:v>24.133812352941177</c:v>
                </c:pt>
                <c:pt idx="36">
                  <c:v>25.748282647058829</c:v>
                </c:pt>
                <c:pt idx="37">
                  <c:v>26.523130882352941</c:v>
                </c:pt>
                <c:pt idx="38">
                  <c:v>26.590545882352941</c:v>
                </c:pt>
                <c:pt idx="39">
                  <c:v>26.527543096735297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D-4F5A-B86F-1AEC43350438}"/>
            </c:ext>
          </c:extLst>
        </c:ser>
        <c:ser>
          <c:idx val="4"/>
          <c:order val="3"/>
          <c:tx>
            <c:v>Nuclear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(Sheet1!$F$4:$F$33,Sheet1!$F$43:$F$78)</c:f>
              <c:numCache>
                <c:formatCode>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8.7600000000000004E-3</c:v>
                </c:pt>
                <c:pt idx="3">
                  <c:v>4.3799999999999999E-2</c:v>
                </c:pt>
                <c:pt idx="4">
                  <c:v>0.14016000000000001</c:v>
                </c:pt>
                <c:pt idx="5">
                  <c:v>0.21024000000000001</c:v>
                </c:pt>
                <c:pt idx="6">
                  <c:v>0.28032000000000001</c:v>
                </c:pt>
                <c:pt idx="7">
                  <c:v>0.39419999999999999</c:v>
                </c:pt>
                <c:pt idx="8">
                  <c:v>0.53435999999999995</c:v>
                </c:pt>
                <c:pt idx="9">
                  <c:v>0.62195999999999996</c:v>
                </c:pt>
                <c:pt idx="10">
                  <c:v>0.74460000000000004</c:v>
                </c:pt>
                <c:pt idx="11">
                  <c:v>0.86724000000000001</c:v>
                </c:pt>
                <c:pt idx="12">
                  <c:v>0.99863999999999997</c:v>
                </c:pt>
                <c:pt idx="13">
                  <c:v>1.05996</c:v>
                </c:pt>
                <c:pt idx="14">
                  <c:v>1.1826000000000001</c:v>
                </c:pt>
                <c:pt idx="15">
                  <c:v>1.3577999999999999</c:v>
                </c:pt>
                <c:pt idx="16">
                  <c:v>1.4892000000000001</c:v>
                </c:pt>
                <c:pt idx="17">
                  <c:v>1.65564</c:v>
                </c:pt>
                <c:pt idx="18">
                  <c:v>1.9184399999999999</c:v>
                </c:pt>
                <c:pt idx="19">
                  <c:v>2.19</c:v>
                </c:pt>
                <c:pt idx="20">
                  <c:v>2.4177599999999999</c:v>
                </c:pt>
                <c:pt idx="21">
                  <c:v>2.6017199999999998</c:v>
                </c:pt>
                <c:pt idx="22">
                  <c:v>2.7155999999999998</c:v>
                </c:pt>
                <c:pt idx="23">
                  <c:v>2.8031999999999999</c:v>
                </c:pt>
                <c:pt idx="24">
                  <c:v>2.8732799999999998</c:v>
                </c:pt>
                <c:pt idx="25">
                  <c:v>2.847</c:v>
                </c:pt>
                <c:pt idx="26">
                  <c:v>2.8645200000000002</c:v>
                </c:pt>
                <c:pt idx="27">
                  <c:v>2.9433600000000002</c:v>
                </c:pt>
                <c:pt idx="28">
                  <c:v>2.96088</c:v>
                </c:pt>
                <c:pt idx="29">
                  <c:v>2.98</c:v>
                </c:pt>
                <c:pt idx="30">
                  <c:v>3.2553567078145145</c:v>
                </c:pt>
                <c:pt idx="31">
                  <c:v>3.3013426369022394</c:v>
                </c:pt>
                <c:pt idx="32">
                  <c:v>3.2311542057007339</c:v>
                </c:pt>
                <c:pt idx="33">
                  <c:v>3.2210109144220742</c:v>
                </c:pt>
                <c:pt idx="34">
                  <c:v>3.1905302708286127</c:v>
                </c:pt>
                <c:pt idx="35">
                  <c:v>3.2542750415044255</c:v>
                </c:pt>
                <c:pt idx="36">
                  <c:v>3.1201853732847726</c:v>
                </c:pt>
                <c:pt idx="37">
                  <c:v>2.9076730055577129</c:v>
                </c:pt>
                <c:pt idx="38">
                  <c:v>2.9317056705368101</c:v>
                </c:pt>
                <c:pt idx="39">
                  <c:v>2.9896978070000557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4D-4F5A-B86F-1AEC43350438}"/>
            </c:ext>
          </c:extLst>
        </c:ser>
        <c:ser>
          <c:idx val="5"/>
          <c:order val="4"/>
          <c:tx>
            <c:v>Wind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(Sheet1!$G$4:$G$33,Sheet1!$G$43:$G$78)</c:f>
              <c:numCache>
                <c:formatCode>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8.7600000000000002E-5</c:v>
                </c:pt>
                <c:pt idx="15">
                  <c:v>2.1900000000000001E-4</c:v>
                </c:pt>
                <c:pt idx="16">
                  <c:v>7.8839999999999997E-4</c:v>
                </c:pt>
                <c:pt idx="17">
                  <c:v>1.8396E-3</c:v>
                </c:pt>
                <c:pt idx="18">
                  <c:v>5.2560000000000003E-3</c:v>
                </c:pt>
                <c:pt idx="19">
                  <c:v>8.9352000000000008E-3</c:v>
                </c:pt>
                <c:pt idx="20">
                  <c:v>1.11252E-2</c:v>
                </c:pt>
                <c:pt idx="21">
                  <c:v>1.2702E-2</c:v>
                </c:pt>
                <c:pt idx="22">
                  <c:v>1.38408E-2</c:v>
                </c:pt>
                <c:pt idx="23">
                  <c:v>1.51548E-2</c:v>
                </c:pt>
                <c:pt idx="24">
                  <c:v>1.69068E-2</c:v>
                </c:pt>
                <c:pt idx="25">
                  <c:v>1.90092E-2</c:v>
                </c:pt>
                <c:pt idx="26">
                  <c:v>2.19876E-2</c:v>
                </c:pt>
                <c:pt idx="27">
                  <c:v>1.7432400000000001E-2</c:v>
                </c:pt>
                <c:pt idx="28">
                  <c:v>3.2236800000000003E-2</c:v>
                </c:pt>
                <c:pt idx="29">
                  <c:v>0.04</c:v>
                </c:pt>
                <c:pt idx="30">
                  <c:v>0.46114739435806673</c:v>
                </c:pt>
                <c:pt idx="31">
                  <c:v>0.58865376777322653</c:v>
                </c:pt>
                <c:pt idx="32">
                  <c:v>0.75593993189556896</c:v>
                </c:pt>
                <c:pt idx="33">
                  <c:v>0.96928951870986935</c:v>
                </c:pt>
                <c:pt idx="34">
                  <c:v>1.2296419115356243</c:v>
                </c:pt>
                <c:pt idx="35">
                  <c:v>1.5106959159213456</c:v>
                </c:pt>
                <c:pt idx="36">
                  <c:v>1.9315955353827692</c:v>
                </c:pt>
                <c:pt idx="37">
                  <c:v>2.3313337539072529</c:v>
                </c:pt>
                <c:pt idx="38">
                  <c:v>2.8513727380040996</c:v>
                </c:pt>
                <c:pt idx="39">
                  <c:v>3.1384857166946842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4D-4F5A-B86F-1AEC43350438}"/>
            </c:ext>
          </c:extLst>
        </c:ser>
        <c:ser>
          <c:idx val="6"/>
          <c:order val="5"/>
          <c:tx>
            <c:v>Solar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(Sheet1!$H$4:$H$33,Sheet1!$H$43:$H$78)</c:f>
              <c:numCache>
                <c:formatCode>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8.7600000000000006E-7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1.5768000000000002E-5</c:v>
                </c:pt>
                <c:pt idx="10">
                  <c:v>1.7520000000000002E-5</c:v>
                </c:pt>
                <c:pt idx="11">
                  <c:v>1.9272000000000001E-5</c:v>
                </c:pt>
                <c:pt idx="12">
                  <c:v>2.19E-5</c:v>
                </c:pt>
                <c:pt idx="13">
                  <c:v>3.5040000000000003E-5</c:v>
                </c:pt>
                <c:pt idx="14">
                  <c:v>5.694E-5</c:v>
                </c:pt>
                <c:pt idx="15">
                  <c:v>6.8328E-5</c:v>
                </c:pt>
                <c:pt idx="16">
                  <c:v>7.971599999999998E-5</c:v>
                </c:pt>
                <c:pt idx="17">
                  <c:v>1.5067199999999997E-4</c:v>
                </c:pt>
                <c:pt idx="18">
                  <c:v>1.8834E-4</c:v>
                </c:pt>
                <c:pt idx="19">
                  <c:v>1.9972800000000004E-4</c:v>
                </c:pt>
                <c:pt idx="20">
                  <c:v>2.2776E-4</c:v>
                </c:pt>
                <c:pt idx="21">
                  <c:v>2.5579199999999997E-4</c:v>
                </c:pt>
                <c:pt idx="22">
                  <c:v>2.9608800000000002E-4</c:v>
                </c:pt>
                <c:pt idx="23">
                  <c:v>3.52152E-4</c:v>
                </c:pt>
                <c:pt idx="24">
                  <c:v>4.0734000000000001E-4</c:v>
                </c:pt>
                <c:pt idx="25">
                  <c:v>4.8530399999999993E-4</c:v>
                </c:pt>
                <c:pt idx="26">
                  <c:v>5.0720399999999992E-4</c:v>
                </c:pt>
                <c:pt idx="27">
                  <c:v>5.2647600000000001E-4</c:v>
                </c:pt>
                <c:pt idx="28">
                  <c:v>6.0794400000000002E-4</c:v>
                </c:pt>
                <c:pt idx="29">
                  <c:v>6.8941200000000003E-4</c:v>
                </c:pt>
                <c:pt idx="30">
                  <c:v>9.4873480555952988E-3</c:v>
                </c:pt>
                <c:pt idx="31">
                  <c:v>1.296982885783886E-2</c:v>
                </c:pt>
                <c:pt idx="32">
                  <c:v>1.7275190528333453E-2</c:v>
                </c:pt>
                <c:pt idx="33">
                  <c:v>2.8241070608254683E-2</c:v>
                </c:pt>
                <c:pt idx="34">
                  <c:v>4.6917131451820977E-2</c:v>
                </c:pt>
                <c:pt idx="35">
                  <c:v>7.5847013209211528E-2</c:v>
                </c:pt>
                <c:pt idx="36">
                  <c:v>0.14510569378499102</c:v>
                </c:pt>
                <c:pt idx="37">
                  <c:v>0.22436763761206904</c:v>
                </c:pt>
                <c:pt idx="38">
                  <c:v>0.30853809390368725</c:v>
                </c:pt>
                <c:pt idx="39">
                  <c:v>0.44035837201118533</c:v>
                </c:pt>
                <c:pt idx="4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4D-4F5A-B86F-1AEC4335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645408"/>
        <c:axId val="1"/>
      </c:areaChart>
      <c:catAx>
        <c:axId val="30564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044773811749177"/>
              <c:y val="0.87748125946601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0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PW*hrs</a:t>
                </a:r>
              </a:p>
            </c:rich>
          </c:tx>
          <c:layout>
            <c:manualLayout>
              <c:xMode val="edge"/>
              <c:yMode val="edge"/>
              <c:x val="1.8051136808093924E-2"/>
              <c:y val="0.352953355762865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56454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97842802480121"/>
          <c:y val="0.34314909588056325"/>
          <c:w val="0.19856250488903318"/>
          <c:h val="0.563744943232353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814003833478606"/>
          <c:y val="4.39038464000558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698705267849499"/>
          <c:y val="0.26342307840033535"/>
          <c:w val="0.67268284221920205"/>
          <c:h val="0.36586538666713248"/>
        </c:manualLayout>
      </c:layout>
      <c:lineChart>
        <c:grouping val="standard"/>
        <c:varyColors val="0"/>
        <c:ser>
          <c:idx val="0"/>
          <c:order val="0"/>
          <c:tx>
            <c:v>Per Capita Energy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(Sheet1!$K$4:$K$33,Sheet1!$K$43:$K$78)</c:f>
              <c:numCache>
                <c:formatCode>0</c:formatCode>
                <c:ptCount val="66"/>
                <c:pt idx="0">
                  <c:v>4398.5725552050471</c:v>
                </c:pt>
                <c:pt idx="1">
                  <c:v>5340.9740259740256</c:v>
                </c:pt>
                <c:pt idx="2">
                  <c:v>6432.6805143422343</c:v>
                </c:pt>
                <c:pt idx="3">
                  <c:v>7312.7403414195851</c:v>
                </c:pt>
                <c:pt idx="4">
                  <c:v>8890.6702702702696</c:v>
                </c:pt>
                <c:pt idx="5">
                  <c:v>9113.8174505960269</c:v>
                </c:pt>
                <c:pt idx="6">
                  <c:v>9322.2020254479357</c:v>
                </c:pt>
                <c:pt idx="7">
                  <c:v>9812.543926661574</c:v>
                </c:pt>
                <c:pt idx="8">
                  <c:v>9775.2485635773173</c:v>
                </c:pt>
                <c:pt idx="9">
                  <c:v>9404.6324510909526</c:v>
                </c:pt>
                <c:pt idx="10">
                  <c:v>9889.6334906114571</c:v>
                </c:pt>
                <c:pt idx="11">
                  <c:v>10037.058234097894</c:v>
                </c:pt>
                <c:pt idx="12">
                  <c:v>10070.469772304834</c:v>
                </c:pt>
                <c:pt idx="13">
                  <c:v>10336.062794520545</c:v>
                </c:pt>
                <c:pt idx="14">
                  <c:v>9932.3742799461634</c:v>
                </c:pt>
                <c:pt idx="15">
                  <c:v>9587.6454326647545</c:v>
                </c:pt>
                <c:pt idx="16">
                  <c:v>9256.5197306193131</c:v>
                </c:pt>
                <c:pt idx="17">
                  <c:v>9180.9977179323523</c:v>
                </c:pt>
                <c:pt idx="18">
                  <c:v>9500.4062557459274</c:v>
                </c:pt>
                <c:pt idx="19">
                  <c:v>9573.1120311922823</c:v>
                </c:pt>
                <c:pt idx="20">
                  <c:v>9693.3816159580911</c:v>
                </c:pt>
                <c:pt idx="21">
                  <c:v>9723.0974860534116</c:v>
                </c:pt>
                <c:pt idx="22">
                  <c:v>10026.615557109555</c:v>
                </c:pt>
                <c:pt idx="23">
                  <c:v>10008.222700763356</c:v>
                </c:pt>
                <c:pt idx="24">
                  <c:v>9860.6180375234526</c:v>
                </c:pt>
                <c:pt idx="25">
                  <c:v>9659.7332048726475</c:v>
                </c:pt>
                <c:pt idx="26">
                  <c:v>9633.6945501453483</c:v>
                </c:pt>
                <c:pt idx="27">
                  <c:v>9489.6132562634211</c:v>
                </c:pt>
                <c:pt idx="28">
                  <c:v>9426.1842582010577</c:v>
                </c:pt>
                <c:pt idx="29">
                  <c:v>9459.3443595896351</c:v>
                </c:pt>
                <c:pt idx="30">
                  <c:v>10558.402909076967</c:v>
                </c:pt>
                <c:pt idx="31">
                  <c:v>10724.420006497601</c:v>
                </c:pt>
                <c:pt idx="32">
                  <c:v>10798.300489551322</c:v>
                </c:pt>
                <c:pt idx="33">
                  <c:v>10899.127013837782</c:v>
                </c:pt>
                <c:pt idx="34">
                  <c:v>10870.574005429802</c:v>
                </c:pt>
                <c:pt idx="35">
                  <c:v>11199.279960516114</c:v>
                </c:pt>
                <c:pt idx="36">
                  <c:v>11431.138171440662</c:v>
                </c:pt>
                <c:pt idx="37">
                  <c:v>11652.167347366738</c:v>
                </c:pt>
                <c:pt idx="38">
                  <c:v>11658.859754006407</c:v>
                </c:pt>
                <c:pt idx="39">
                  <c:v>11834.038866672963</c:v>
                </c:pt>
                <c:pt idx="40" formatCode="General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4-498E-B8CD-6AAF9132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386480"/>
        <c:axId val="1"/>
      </c:lineChart>
      <c:catAx>
        <c:axId val="3583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6116857425773004"/>
              <c:y val="0.8244166712899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0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KW*hrs per person</a:t>
                </a:r>
              </a:p>
            </c:rich>
          </c:tx>
          <c:layout>
            <c:manualLayout>
              <c:xMode val="edge"/>
              <c:yMode val="edge"/>
              <c:x val="5.7555751205921032E-2"/>
              <c:y val="0.180493590755785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838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Population</a:t>
            </a:r>
          </a:p>
        </c:rich>
      </c:tx>
      <c:layout>
        <c:manualLayout>
          <c:xMode val="edge"/>
          <c:yMode val="edge"/>
          <c:x val="0.34533450723552622"/>
          <c:y val="4.1668059941165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98705267849499"/>
          <c:y val="0.25000835964699025"/>
          <c:w val="0.67268284221920205"/>
          <c:h val="0.39816146166002148"/>
        </c:manualLayout>
      </c:layout>
      <c:lineChart>
        <c:grouping val="standard"/>
        <c:varyColors val="0"/>
        <c:ser>
          <c:idx val="0"/>
          <c:order val="0"/>
          <c:tx>
            <c:v>People (Millions)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(Sheet1!$J$4:$J$33,Sheet1!$J$43:$J$78)</c:f>
              <c:numCache>
                <c:formatCode>General</c:formatCode>
                <c:ptCount val="66"/>
                <c:pt idx="0">
                  <c:v>2536</c:v>
                </c:pt>
                <c:pt idx="1">
                  <c:v>2772</c:v>
                </c:pt>
                <c:pt idx="2">
                  <c:v>3033</c:v>
                </c:pt>
                <c:pt idx="3">
                  <c:v>3339</c:v>
                </c:pt>
                <c:pt idx="4">
                  <c:v>3700</c:v>
                </c:pt>
                <c:pt idx="5">
                  <c:v>3775</c:v>
                </c:pt>
                <c:pt idx="6">
                  <c:v>3851</c:v>
                </c:pt>
                <c:pt idx="7">
                  <c:v>3927</c:v>
                </c:pt>
                <c:pt idx="8">
                  <c:v>4003</c:v>
                </c:pt>
                <c:pt idx="9">
                  <c:v>4079</c:v>
                </c:pt>
                <c:pt idx="10">
                  <c:v>4154</c:v>
                </c:pt>
                <c:pt idx="11">
                  <c:v>4229</c:v>
                </c:pt>
                <c:pt idx="12">
                  <c:v>4304</c:v>
                </c:pt>
                <c:pt idx="13">
                  <c:v>4380</c:v>
                </c:pt>
                <c:pt idx="14">
                  <c:v>4458</c:v>
                </c:pt>
                <c:pt idx="15">
                  <c:v>4537</c:v>
                </c:pt>
                <c:pt idx="16">
                  <c:v>4618</c:v>
                </c:pt>
                <c:pt idx="17">
                  <c:v>4701</c:v>
                </c:pt>
                <c:pt idx="18">
                  <c:v>4786</c:v>
                </c:pt>
                <c:pt idx="19">
                  <c:v>4873</c:v>
                </c:pt>
                <c:pt idx="20">
                  <c:v>4963</c:v>
                </c:pt>
                <c:pt idx="21">
                  <c:v>5055</c:v>
                </c:pt>
                <c:pt idx="22">
                  <c:v>5148</c:v>
                </c:pt>
                <c:pt idx="23">
                  <c:v>5240</c:v>
                </c:pt>
                <c:pt idx="24">
                  <c:v>5330</c:v>
                </c:pt>
                <c:pt idx="25">
                  <c:v>5418</c:v>
                </c:pt>
                <c:pt idx="26">
                  <c:v>5504</c:v>
                </c:pt>
                <c:pt idx="27">
                  <c:v>5588</c:v>
                </c:pt>
                <c:pt idx="28">
                  <c:v>5670</c:v>
                </c:pt>
                <c:pt idx="29">
                  <c:v>5751</c:v>
                </c:pt>
                <c:pt idx="30">
                  <c:v>6542</c:v>
                </c:pt>
                <c:pt idx="31">
                  <c:v>6623</c:v>
                </c:pt>
                <c:pt idx="32">
                  <c:v>6706</c:v>
                </c:pt>
                <c:pt idx="33">
                  <c:v>6789</c:v>
                </c:pt>
                <c:pt idx="34">
                  <c:v>6873</c:v>
                </c:pt>
                <c:pt idx="35">
                  <c:v>6958</c:v>
                </c:pt>
                <c:pt idx="36">
                  <c:v>7043</c:v>
                </c:pt>
                <c:pt idx="37">
                  <c:v>7128</c:v>
                </c:pt>
                <c:pt idx="38">
                  <c:v>7213</c:v>
                </c:pt>
                <c:pt idx="39">
                  <c:v>7298</c:v>
                </c:pt>
                <c:pt idx="40">
                  <c:v>0</c:v>
                </c:pt>
                <c:pt idx="41">
                  <c:v>7429.9253846153852</c:v>
                </c:pt>
                <c:pt idx="42">
                  <c:v>7564.2584355692325</c:v>
                </c:pt>
                <c:pt idx="43">
                  <c:v>7701.045442279109</c:v>
                </c:pt>
                <c:pt idx="44">
                  <c:v>7840.3339163655492</c:v>
                </c:pt>
                <c:pt idx="45">
                  <c:v>7982.1726844888899</c:v>
                </c:pt>
                <c:pt idx="46">
                  <c:v>8126.6119997320229</c:v>
                </c:pt>
                <c:pt idx="47">
                  <c:v>8273.7036769271726</c:v>
                </c:pt>
                <c:pt idx="48">
                  <c:v>8423.5012592883813</c:v>
                </c:pt>
                <c:pt idx="49">
                  <c:v>8576.0602265399375</c:v>
                </c:pt>
                <c:pt idx="50">
                  <c:v>8731.4382588796034</c:v>
                </c:pt>
                <c:pt idx="51">
                  <c:v>8889.695577321796</c:v>
                </c:pt>
                <c:pt idx="52">
                  <c:v>9050.8953904572318</c:v>
                </c:pt>
                <c:pt idx="53">
                  <c:v>9215.1044925412425</c:v>
                </c:pt>
                <c:pt idx="54">
                  <c:v>9382.3940817904531</c:v>
                </c:pt>
                <c:pt idx="55">
                  <c:v>9552.8409076096468</c:v>
                </c:pt>
                <c:pt idx="56">
                  <c:v>9726.5289241116388</c:v>
                </c:pt>
                <c:pt idx="57">
                  <c:v>9903.5517505304706</c:v>
                </c:pt>
                <c:pt idx="58">
                  <c:v>10084.016471317915</c:v>
                </c:pt>
                <c:pt idx="59">
                  <c:v>10268.049771919468</c:v>
                </c:pt>
                <c:pt idx="60">
                  <c:v>10455.808396320281</c:v>
                </c:pt>
                <c:pt idx="61">
                  <c:v>10647.498216919486</c:v>
                </c:pt>
                <c:pt idx="62">
                  <c:v>10843.412184110804</c:v>
                </c:pt>
                <c:pt idx="63">
                  <c:v>11044.015309516853</c:v>
                </c:pt>
                <c:pt idx="64">
                  <c:v>11250.170261961168</c:v>
                </c:pt>
                <c:pt idx="65">
                  <c:v>11463.923496938429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F-49A8-8D5D-0B246232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86864"/>
        <c:axId val="1"/>
      </c:lineChart>
      <c:catAx>
        <c:axId val="30528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6116857425773004"/>
              <c:y val="0.833361198823300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0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People (Millions)</a:t>
                </a:r>
              </a:p>
            </c:rich>
          </c:tx>
          <c:layout>
            <c:manualLayout>
              <c:xMode val="edge"/>
              <c:yMode val="edge"/>
              <c:x val="5.7555751205921032E-2"/>
              <c:y val="0.22685943745745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5286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Global Cost</a:t>
            </a:r>
          </a:p>
        </c:rich>
      </c:tx>
      <c:layout>
        <c:manualLayout>
          <c:xMode val="edge"/>
          <c:yMode val="edge"/>
          <c:x val="0.3978632143930686"/>
          <c:y val="4.2454362098180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22990353486716"/>
          <c:y val="0.25472617258908192"/>
          <c:w val="0.72762371641254886"/>
          <c:h val="0.41510931829331865"/>
        </c:manualLayout>
      </c:layout>
      <c:lineChart>
        <c:grouping val="standard"/>
        <c:varyColors val="0"/>
        <c:ser>
          <c:idx val="0"/>
          <c:order val="0"/>
          <c:tx>
            <c:v>Cost (U.S. Billions)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(Sheet1!$B$4:$B$33,Sheet1!$B$43:$B$78)</c:f>
              <c:strCache>
                <c:ptCount val="66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Year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  <c:pt idx="49">
                  <c:v>2023</c:v>
                </c:pt>
                <c:pt idx="50">
                  <c:v>2024</c:v>
                </c:pt>
                <c:pt idx="51">
                  <c:v>2025</c:v>
                </c:pt>
                <c:pt idx="52">
                  <c:v>2026</c:v>
                </c:pt>
                <c:pt idx="53">
                  <c:v>2027</c:v>
                </c:pt>
                <c:pt idx="54">
                  <c:v>2028</c:v>
                </c:pt>
                <c:pt idx="55">
                  <c:v>2029</c:v>
                </c:pt>
                <c:pt idx="56">
                  <c:v>2030</c:v>
                </c:pt>
                <c:pt idx="57">
                  <c:v>2031</c:v>
                </c:pt>
                <c:pt idx="58">
                  <c:v>2032</c:v>
                </c:pt>
                <c:pt idx="59">
                  <c:v>2033</c:v>
                </c:pt>
                <c:pt idx="60">
                  <c:v>2034</c:v>
                </c:pt>
                <c:pt idx="61">
                  <c:v>2035</c:v>
                </c:pt>
                <c:pt idx="62">
                  <c:v>2036</c:v>
                </c:pt>
                <c:pt idx="63">
                  <c:v>2037</c:v>
                </c:pt>
                <c:pt idx="64">
                  <c:v>2038</c:v>
                </c:pt>
                <c:pt idx="65">
                  <c:v>2039</c:v>
                </c:pt>
              </c:strCache>
            </c:strRef>
          </c:cat>
          <c:val>
            <c:numRef>
              <c:f>(Sheet1!$Q$4:$Q$33,Sheet1!$Q$43:$Q$77)</c:f>
              <c:numCache>
                <c:formatCode>General</c:formatCode>
                <c:ptCount val="65"/>
                <c:pt idx="40">
                  <c:v>0</c:v>
                </c:pt>
                <c:pt idx="41" formatCode="0.00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 formatCode="0.00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 formatCode="0.00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 formatCode="0.00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 formatCode="0.00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 formatCode="0.00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 formatCode="0.0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 formatCode="0.00">
                  <c:v>0</c:v>
                </c:pt>
                <c:pt idx="64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7-4C0A-916F-0D1049CE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288112"/>
        <c:axId val="1"/>
      </c:lineChart>
      <c:catAx>
        <c:axId val="30528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406863914024527"/>
              <c:y val="0.8302186365866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 algn="ctr" rtl="0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Cost (Billion $U.S.)</a:t>
                </a:r>
              </a:p>
            </c:rich>
          </c:tx>
          <c:layout>
            <c:manualLayout>
              <c:xMode val="edge"/>
              <c:yMode val="edge"/>
              <c:x val="5.7349652525127005E-2"/>
              <c:y val="0.22170611317938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528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Scroll" dx="12" fmlaLink="$S$44" max="50" page="0" val="3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38100</xdr:rowOff>
    </xdr:from>
    <xdr:to>
      <xdr:col>0</xdr:col>
      <xdr:colOff>2657475</xdr:colOff>
      <xdr:row>78</xdr:row>
      <xdr:rowOff>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78</xdr:row>
      <xdr:rowOff>85725</xdr:rowOff>
    </xdr:from>
    <xdr:to>
      <xdr:col>0</xdr:col>
      <xdr:colOff>2667000</xdr:colOff>
      <xdr:row>87</xdr:row>
      <xdr:rowOff>171450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87</xdr:row>
      <xdr:rowOff>142875</xdr:rowOff>
    </xdr:from>
    <xdr:to>
      <xdr:col>0</xdr:col>
      <xdr:colOff>2676525</xdr:colOff>
      <xdr:row>100</xdr:row>
      <xdr:rowOff>57150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100</xdr:row>
      <xdr:rowOff>57150</xdr:rowOff>
    </xdr:from>
    <xdr:to>
      <xdr:col>0</xdr:col>
      <xdr:colOff>2667000</xdr:colOff>
      <xdr:row>112</xdr:row>
      <xdr:rowOff>133350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2009775</xdr:colOff>
          <xdr:row>50</xdr:row>
          <xdr:rowOff>19050</xdr:rowOff>
        </xdr:from>
        <xdr:to>
          <xdr:col>0</xdr:col>
          <xdr:colOff>2238375</xdr:colOff>
          <xdr:row>55</xdr:row>
          <xdr:rowOff>47625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6</xdr:col>
      <xdr:colOff>104775</xdr:colOff>
      <xdr:row>100</xdr:row>
      <xdr:rowOff>85725</xdr:rowOff>
    </xdr:from>
    <xdr:to>
      <xdr:col>10</xdr:col>
      <xdr:colOff>247650</xdr:colOff>
      <xdr:row>103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75A91E-7122-4678-B215-CE0CCDA7B913}"/>
            </a:ext>
          </a:extLst>
        </xdr:cNvPr>
        <xdr:cNvSpPr/>
      </xdr:nvSpPr>
      <xdr:spPr bwMode="auto">
        <a:xfrm>
          <a:off x="5238750" y="17230725"/>
          <a:ext cx="2038350" cy="561975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n-US" sz="1100"/>
            <a:t>&lt;--</a:t>
          </a:r>
          <a:r>
            <a:rPr lang="en-US" sz="1100" baseline="0"/>
            <a:t> </a:t>
          </a:r>
          <a:r>
            <a:rPr lang="en-US" sz="1100"/>
            <a:t>Fall</a:t>
          </a:r>
          <a:r>
            <a:rPr lang="en-US" sz="1100" baseline="0"/>
            <a:t> 2017 Ph 211 Students -- make sure that I explain these numbers to you.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0.27005</cdr:x>
      <cdr:y>0.5</cdr:y>
    </cdr:from>
    <cdr:to>
      <cdr:x>0.94857</cdr:x>
      <cdr:y>0.5</cdr:y>
    </cdr:to>
    <cdr:sp macro="" textlink="">
      <cdr:nvSpPr>
        <cdr:cNvPr id="2049" name="Line 1">
          <a:extLst xmlns:a="http://schemas.openxmlformats.org/drawingml/2006/main">
            <a:ext uri="{FF2B5EF4-FFF2-40B4-BE49-F238E27FC236}">
              <a16:creationId xmlns:a16="http://schemas.microsoft.com/office/drawing/2014/main" id="{848623FA-E5B1-44A9-9683-C774F498B42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20822" y="984250"/>
          <a:ext cx="1803166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9"/>
  <sheetViews>
    <sheetView tabSelected="1" topLeftCell="A35" zoomScaleNormal="100" workbookViewId="0">
      <selection activeCell="J59" sqref="J59"/>
    </sheetView>
  </sheetViews>
  <sheetFormatPr defaultColWidth="8.85546875" defaultRowHeight="12.75" x14ac:dyDescent="0.2"/>
  <cols>
    <col min="1" max="1" width="41.28515625" bestFit="1" customWidth="1"/>
    <col min="2" max="2" width="8.85546875" customWidth="1"/>
    <col min="3" max="3" width="8.28515625" customWidth="1"/>
    <col min="4" max="4" width="6.28515625" customWidth="1"/>
    <col min="5" max="5" width="6" bestFit="1" customWidth="1"/>
    <col min="6" max="6" width="6.28515625" customWidth="1"/>
    <col min="7" max="7" width="5.42578125" customWidth="1"/>
    <col min="8" max="8" width="6.42578125" customWidth="1"/>
    <col min="9" max="9" width="7.7109375" customWidth="1"/>
    <col min="10" max="10" width="8.85546875" customWidth="1"/>
    <col min="11" max="11" width="16.7109375" bestFit="1" customWidth="1"/>
    <col min="12" max="12" width="8.85546875" customWidth="1"/>
    <col min="13" max="13" width="12.42578125" bestFit="1" customWidth="1"/>
  </cols>
  <sheetData>
    <row r="1" spans="1:33" s="1" customFormat="1" ht="36" customHeight="1" x14ac:dyDescent="0.45">
      <c r="A1" s="16" t="s">
        <v>1</v>
      </c>
      <c r="B1" s="14" t="s">
        <v>104</v>
      </c>
      <c r="C1" s="6"/>
      <c r="D1" s="6"/>
      <c r="E1" s="6"/>
      <c r="F1" s="6"/>
      <c r="G1" s="6"/>
      <c r="H1" s="6"/>
      <c r="I1" s="7"/>
      <c r="J1" s="5"/>
      <c r="K1" s="5"/>
    </row>
    <row r="2" spans="1:33" s="2" customFormat="1" ht="14.25" customHeight="1" thickBot="1" x14ac:dyDescent="0.3">
      <c r="A2" s="17"/>
      <c r="B2" s="29" t="s">
        <v>39</v>
      </c>
      <c r="C2" s="8" t="s">
        <v>40</v>
      </c>
      <c r="D2" s="8" t="s">
        <v>41</v>
      </c>
      <c r="E2" s="8" t="s">
        <v>42</v>
      </c>
      <c r="F2" s="8" t="s">
        <v>45</v>
      </c>
      <c r="G2" s="8" t="s">
        <v>43</v>
      </c>
      <c r="H2" s="8" t="s">
        <v>44</v>
      </c>
      <c r="I2" s="8" t="s">
        <v>46</v>
      </c>
      <c r="J2" s="8" t="s">
        <v>47</v>
      </c>
      <c r="K2" s="8" t="s">
        <v>48</v>
      </c>
      <c r="T2" s="42"/>
      <c r="U2" s="43"/>
      <c r="V2" s="43"/>
      <c r="W2" s="43"/>
      <c r="X2" s="43"/>
      <c r="Y2" s="43"/>
      <c r="Z2" s="43"/>
      <c r="AA2" s="43"/>
      <c r="AB2" s="43"/>
      <c r="AC2" s="43"/>
      <c r="AD2" s="42"/>
      <c r="AE2" s="42"/>
      <c r="AF2" s="42"/>
      <c r="AG2" s="42"/>
    </row>
    <row r="3" spans="1:33" s="3" customFormat="1" ht="9.75" thickTop="1" x14ac:dyDescent="0.15">
      <c r="A3" s="25"/>
      <c r="B3" s="30"/>
      <c r="C3" s="30" t="s">
        <v>49</v>
      </c>
      <c r="D3" s="30" t="s">
        <v>49</v>
      </c>
      <c r="E3" s="30" t="s">
        <v>49</v>
      </c>
      <c r="F3" s="30" t="s">
        <v>49</v>
      </c>
      <c r="G3" s="30" t="s">
        <v>49</v>
      </c>
      <c r="H3" s="30" t="s">
        <v>49</v>
      </c>
      <c r="I3" s="30" t="s">
        <v>49</v>
      </c>
      <c r="J3" s="30" t="s">
        <v>50</v>
      </c>
      <c r="K3" s="30" t="s">
        <v>51</v>
      </c>
      <c r="T3" s="44"/>
      <c r="U3" s="45"/>
      <c r="V3" s="45"/>
      <c r="W3" s="45"/>
      <c r="X3" s="45"/>
      <c r="Y3" s="45"/>
      <c r="Z3" s="45"/>
      <c r="AA3" s="45"/>
      <c r="AB3" s="45"/>
      <c r="AC3" s="45"/>
      <c r="AD3" s="44"/>
      <c r="AE3" s="44"/>
      <c r="AF3" s="44"/>
      <c r="AG3" s="44"/>
    </row>
    <row r="4" spans="1:33" x14ac:dyDescent="0.2">
      <c r="A4" s="27" t="s">
        <v>38</v>
      </c>
      <c r="B4" s="28">
        <v>1950</v>
      </c>
      <c r="C4" s="34">
        <v>3.6363599999999998</v>
      </c>
      <c r="D4" s="34">
        <v>1.31274</v>
      </c>
      <c r="E4" s="34">
        <v>6.2056799999999992</v>
      </c>
      <c r="F4" s="34">
        <v>0</v>
      </c>
      <c r="G4" s="34">
        <v>0</v>
      </c>
      <c r="H4" s="34">
        <v>0</v>
      </c>
      <c r="I4" s="34">
        <f>SUM(C4:H4)</f>
        <v>11.154779999999999</v>
      </c>
      <c r="J4">
        <v>2536</v>
      </c>
      <c r="K4" s="23">
        <f>(I4/J4)*10^6</f>
        <v>4398.5725552050471</v>
      </c>
    </row>
    <row r="5" spans="1:33" x14ac:dyDescent="0.2">
      <c r="A5" s="26" t="s">
        <v>63</v>
      </c>
      <c r="B5" s="33">
        <v>1955</v>
      </c>
      <c r="C5" s="34">
        <v>5.384339999999999</v>
      </c>
      <c r="D5" s="34">
        <v>2.08494</v>
      </c>
      <c r="E5" s="34">
        <v>7.3358999999999996</v>
      </c>
      <c r="F5" s="34">
        <v>0</v>
      </c>
      <c r="G5" s="34">
        <v>0</v>
      </c>
      <c r="H5" s="34">
        <v>0</v>
      </c>
      <c r="I5" s="34">
        <f>SUM(C5:H5)</f>
        <v>14.80518</v>
      </c>
      <c r="J5">
        <v>2772</v>
      </c>
      <c r="K5" s="23">
        <f>(I5/J5)*10^6</f>
        <v>5340.9740259740256</v>
      </c>
    </row>
    <row r="6" spans="1:33" x14ac:dyDescent="0.2">
      <c r="A6" s="26" t="s">
        <v>64</v>
      </c>
      <c r="B6" s="9">
        <v>1960</v>
      </c>
      <c r="C6" s="4">
        <v>7.3639799999999997</v>
      </c>
      <c r="D6" s="4">
        <v>3.21516</v>
      </c>
      <c r="E6" s="4">
        <v>8.9224200000000007</v>
      </c>
      <c r="F6" s="4">
        <v>8.7600000000000004E-3</v>
      </c>
      <c r="G6" s="4">
        <v>0</v>
      </c>
      <c r="H6" s="4">
        <v>0</v>
      </c>
      <c r="I6" s="4">
        <f>SUM(C6:H6)</f>
        <v>19.510319999999997</v>
      </c>
      <c r="J6">
        <v>3033</v>
      </c>
      <c r="K6" s="23">
        <f>(I6/J6)*10^6</f>
        <v>6432.6805143422343</v>
      </c>
    </row>
    <row r="7" spans="1:33" x14ac:dyDescent="0.2">
      <c r="A7" s="26" t="s">
        <v>65</v>
      </c>
      <c r="B7" s="33">
        <v>1965</v>
      </c>
      <c r="C7" s="34">
        <v>10.593179999999998</v>
      </c>
      <c r="D7" s="34">
        <v>4.6612799999999996</v>
      </c>
      <c r="E7" s="34">
        <v>9.1189799999999988</v>
      </c>
      <c r="F7" s="34">
        <v>4.3799999999999999E-2</v>
      </c>
      <c r="G7" s="34">
        <v>0</v>
      </c>
      <c r="H7" s="34">
        <v>0</v>
      </c>
      <c r="I7" s="34">
        <f>SUM(C7:H7)</f>
        <v>24.417239999999996</v>
      </c>
      <c r="J7">
        <v>3339</v>
      </c>
      <c r="K7" s="23">
        <f>(I7/J7)*10^6</f>
        <v>7312.7403414195851</v>
      </c>
    </row>
    <row r="8" spans="1:33" x14ac:dyDescent="0.2">
      <c r="A8" s="26" t="s">
        <v>66</v>
      </c>
      <c r="B8" s="9">
        <v>1970</v>
      </c>
      <c r="C8" s="4">
        <v>16.012619999999998</v>
      </c>
      <c r="D8" s="4">
        <v>7.2025199999999998</v>
      </c>
      <c r="E8" s="4">
        <v>9.5401799999999994</v>
      </c>
      <c r="F8" s="4">
        <v>0.14016000000000001</v>
      </c>
      <c r="G8" s="4">
        <v>0</v>
      </c>
      <c r="H8" s="4">
        <v>0</v>
      </c>
      <c r="I8" s="4">
        <f>SUM(C8:H8)</f>
        <v>32.895479999999999</v>
      </c>
      <c r="J8">
        <v>3700</v>
      </c>
      <c r="K8" s="23">
        <f>(I8/J8)*10^6</f>
        <v>8890.6702702702696</v>
      </c>
    </row>
    <row r="9" spans="1:33" x14ac:dyDescent="0.2">
      <c r="A9" s="24"/>
      <c r="B9" s="33">
        <v>1971</v>
      </c>
      <c r="C9" s="34">
        <v>16.918200000000002</v>
      </c>
      <c r="D9" s="34">
        <v>7.7641200000000001</v>
      </c>
      <c r="E9" s="34">
        <v>9.5120999999999984</v>
      </c>
      <c r="F9" s="34">
        <v>0.21024000000000001</v>
      </c>
      <c r="G9" s="34">
        <v>0</v>
      </c>
      <c r="H9" s="34">
        <v>8.7600000000000006E-7</v>
      </c>
      <c r="I9" s="34">
        <f>SUM(C9:H9)</f>
        <v>34.404660876000001</v>
      </c>
      <c r="J9">
        <v>3775</v>
      </c>
      <c r="K9" s="23">
        <f>(I9/J9)*10^6</f>
        <v>9113.8174505960269</v>
      </c>
    </row>
    <row r="10" spans="1:33" x14ac:dyDescent="0.2">
      <c r="A10" s="19" t="s">
        <v>88</v>
      </c>
      <c r="B10" s="33">
        <v>1972</v>
      </c>
      <c r="C10" s="34">
        <v>17.893979999999999</v>
      </c>
      <c r="D10" s="34">
        <v>8.2134</v>
      </c>
      <c r="E10" s="34">
        <v>9.5120999999999984</v>
      </c>
      <c r="F10" s="34">
        <v>0.28032000000000001</v>
      </c>
      <c r="G10" s="34">
        <v>0</v>
      </c>
      <c r="H10" s="34">
        <v>0</v>
      </c>
      <c r="I10" s="34">
        <f>SUM(C10:H10)</f>
        <v>35.899799999999999</v>
      </c>
      <c r="J10">
        <v>3851</v>
      </c>
      <c r="K10" s="23">
        <f>(I10/J10)*10^6</f>
        <v>9322.2020254479357</v>
      </c>
    </row>
    <row r="11" spans="1:33" x14ac:dyDescent="0.2">
      <c r="A11" s="20" t="s">
        <v>71</v>
      </c>
      <c r="B11" s="9">
        <v>1973</v>
      </c>
      <c r="C11" s="4">
        <v>19.508579999999998</v>
      </c>
      <c r="D11" s="4">
        <v>8.7118199999999995</v>
      </c>
      <c r="E11" s="4">
        <v>9.9192599999999995</v>
      </c>
      <c r="F11" s="4">
        <v>0.39419999999999999</v>
      </c>
      <c r="G11" s="4">
        <v>0</v>
      </c>
      <c r="H11" s="4">
        <v>0</v>
      </c>
      <c r="I11" s="4">
        <f>SUM(C11:H11)</f>
        <v>38.533859999999997</v>
      </c>
      <c r="J11">
        <v>3927</v>
      </c>
      <c r="K11" s="23">
        <f>(I11/J11)*10^6</f>
        <v>9812.543926661574</v>
      </c>
    </row>
    <row r="12" spans="1:33" x14ac:dyDescent="0.2">
      <c r="A12" s="18" t="s">
        <v>67</v>
      </c>
      <c r="B12" s="33">
        <v>1974</v>
      </c>
      <c r="C12" s="34">
        <v>19.677059999999997</v>
      </c>
      <c r="D12" s="34">
        <v>8.8522199999999991</v>
      </c>
      <c r="E12" s="34">
        <v>10.06668</v>
      </c>
      <c r="F12" s="34">
        <v>0.53435999999999995</v>
      </c>
      <c r="G12" s="34">
        <v>0</v>
      </c>
      <c r="H12" s="34">
        <v>0</v>
      </c>
      <c r="I12" s="34">
        <f>SUM(C12:H12)</f>
        <v>39.130319999999998</v>
      </c>
      <c r="J12">
        <v>4003</v>
      </c>
      <c r="K12" s="23">
        <f>(I12/J12)*10^6</f>
        <v>9775.2485635773173</v>
      </c>
    </row>
    <row r="13" spans="1:33" x14ac:dyDescent="0.2">
      <c r="A13" s="18" t="s">
        <v>68</v>
      </c>
      <c r="B13" s="33">
        <v>1975</v>
      </c>
      <c r="C13" s="34">
        <v>18.666180000000001</v>
      </c>
      <c r="D13" s="34">
        <v>8.8943399999999997</v>
      </c>
      <c r="E13" s="34">
        <v>10.179</v>
      </c>
      <c r="F13" s="34">
        <v>0.62195999999999996</v>
      </c>
      <c r="G13" s="34">
        <v>0</v>
      </c>
      <c r="H13" s="34">
        <v>1.5768000000000002E-5</v>
      </c>
      <c r="I13" s="34">
        <f>SUM(C13:H13)</f>
        <v>38.361495767999997</v>
      </c>
      <c r="J13">
        <v>4079</v>
      </c>
      <c r="K13" s="23">
        <f>(I13/J13)*10^6</f>
        <v>9404.6324510909526</v>
      </c>
    </row>
    <row r="14" spans="1:33" x14ac:dyDescent="0.2">
      <c r="A14" s="18" t="s">
        <v>7</v>
      </c>
      <c r="B14" s="9">
        <v>1976</v>
      </c>
      <c r="C14" s="4">
        <v>20.365020000000001</v>
      </c>
      <c r="D14" s="4">
        <v>9.2663999999999991</v>
      </c>
      <c r="E14" s="4">
        <v>10.705500000000001</v>
      </c>
      <c r="F14" s="4">
        <v>0.74460000000000004</v>
      </c>
      <c r="G14" s="4">
        <v>0</v>
      </c>
      <c r="H14" s="4">
        <v>1.7520000000000002E-5</v>
      </c>
      <c r="I14" s="4">
        <f>SUM(C14:H14)</f>
        <v>41.081537519999998</v>
      </c>
      <c r="J14">
        <v>4154</v>
      </c>
      <c r="K14" s="23">
        <f>(I14/J14)*10^6</f>
        <v>9889.6334906114571</v>
      </c>
    </row>
    <row r="15" spans="1:33" x14ac:dyDescent="0.2">
      <c r="A15" s="18" t="s">
        <v>69</v>
      </c>
      <c r="B15" s="33">
        <v>1977</v>
      </c>
      <c r="C15" s="34">
        <v>20.975759999999998</v>
      </c>
      <c r="D15" s="34">
        <v>9.5050799999999995</v>
      </c>
      <c r="E15" s="34">
        <v>11.098619999999999</v>
      </c>
      <c r="F15" s="34">
        <v>0.86724000000000001</v>
      </c>
      <c r="G15" s="34">
        <v>0</v>
      </c>
      <c r="H15" s="34">
        <v>1.9272000000000001E-5</v>
      </c>
      <c r="I15" s="34">
        <f>SUM(C15:H15)</f>
        <v>42.446719272000003</v>
      </c>
      <c r="J15">
        <v>4229</v>
      </c>
      <c r="K15" s="23">
        <f>(I15/J15)*10^6</f>
        <v>10037.058234097894</v>
      </c>
    </row>
    <row r="16" spans="1:33" x14ac:dyDescent="0.2">
      <c r="A16" s="18" t="s">
        <v>70</v>
      </c>
      <c r="B16" s="33">
        <v>1978</v>
      </c>
      <c r="C16" s="34">
        <v>21.22146</v>
      </c>
      <c r="D16" s="34">
        <v>9.7858799999999988</v>
      </c>
      <c r="E16" s="34">
        <v>11.337299999999999</v>
      </c>
      <c r="F16" s="34">
        <v>0.99863999999999997</v>
      </c>
      <c r="G16" s="34">
        <v>0</v>
      </c>
      <c r="H16" s="34">
        <v>2.19E-5</v>
      </c>
      <c r="I16" s="34">
        <f>SUM(C16:H16)</f>
        <v>43.3433019</v>
      </c>
      <c r="J16">
        <v>4304</v>
      </c>
      <c r="K16" s="23">
        <f>(I16/J16)*10^6</f>
        <v>10070.469772304834</v>
      </c>
    </row>
    <row r="17" spans="1:11" x14ac:dyDescent="0.2">
      <c r="A17" s="18" t="s">
        <v>2</v>
      </c>
      <c r="B17" s="9">
        <v>1979</v>
      </c>
      <c r="C17" s="4">
        <v>21.916439999999998</v>
      </c>
      <c r="D17" s="4">
        <v>10.494899999999999</v>
      </c>
      <c r="E17" s="4">
        <v>11.800619999999999</v>
      </c>
      <c r="F17" s="4">
        <v>1.05996</v>
      </c>
      <c r="G17" s="4">
        <v>0</v>
      </c>
      <c r="H17" s="4">
        <v>3.5040000000000003E-5</v>
      </c>
      <c r="I17" s="4">
        <f>SUM(C17:H17)</f>
        <v>45.271955039999987</v>
      </c>
      <c r="J17">
        <v>4380</v>
      </c>
      <c r="K17" s="23">
        <f>(I17/J17)*10^6</f>
        <v>10336.062794520545</v>
      </c>
    </row>
    <row r="18" spans="1:11" x14ac:dyDescent="0.2">
      <c r="A18" s="18"/>
      <c r="B18" s="33">
        <v>1980</v>
      </c>
      <c r="C18" s="34">
        <v>20.89152</v>
      </c>
      <c r="D18" s="34">
        <v>10.214099999999998</v>
      </c>
      <c r="E18" s="34">
        <v>11.990159999999999</v>
      </c>
      <c r="F18" s="34">
        <v>1.1826000000000001</v>
      </c>
      <c r="G18" s="34">
        <v>8.7600000000000002E-5</v>
      </c>
      <c r="H18" s="34">
        <v>5.694E-5</v>
      </c>
      <c r="I18" s="34">
        <f>SUM(C18:H18)</f>
        <v>44.278524539999999</v>
      </c>
      <c r="J18">
        <v>4458</v>
      </c>
      <c r="K18" s="23">
        <f>(I18/J18)*10^6</f>
        <v>9932.3742799461634</v>
      </c>
    </row>
    <row r="19" spans="1:11" x14ac:dyDescent="0.2">
      <c r="A19" s="20" t="s">
        <v>74</v>
      </c>
      <c r="B19" s="33">
        <v>1981</v>
      </c>
      <c r="C19" s="34">
        <v>19.508579999999998</v>
      </c>
      <c r="D19" s="34">
        <v>10.473840000000001</v>
      </c>
      <c r="E19" s="34">
        <v>12.15864</v>
      </c>
      <c r="F19" s="34">
        <v>1.3577999999999999</v>
      </c>
      <c r="G19" s="34">
        <v>2.1900000000000001E-4</v>
      </c>
      <c r="H19" s="34">
        <v>6.8328E-5</v>
      </c>
      <c r="I19" s="34">
        <f>SUM(C19:H19)</f>
        <v>43.499147327999992</v>
      </c>
      <c r="J19">
        <v>4537</v>
      </c>
      <c r="K19" s="23">
        <f>(I19/J19)*10^6</f>
        <v>9587.6454326647545</v>
      </c>
    </row>
    <row r="20" spans="1:11" x14ac:dyDescent="0.2">
      <c r="A20" s="18" t="s">
        <v>72</v>
      </c>
      <c r="B20" s="9">
        <v>1982</v>
      </c>
      <c r="C20" s="4">
        <v>18.560879999999997</v>
      </c>
      <c r="D20" s="4">
        <v>10.403639999999999</v>
      </c>
      <c r="E20" s="4">
        <v>12.292019999999999</v>
      </c>
      <c r="F20" s="4">
        <v>1.4892000000000001</v>
      </c>
      <c r="G20" s="4">
        <v>7.8839999999999997E-4</v>
      </c>
      <c r="H20" s="4">
        <v>7.971599999999998E-5</v>
      </c>
      <c r="I20" s="4">
        <f>SUM(C20:H20)</f>
        <v>42.74660811599999</v>
      </c>
      <c r="J20">
        <v>4618</v>
      </c>
      <c r="K20" s="23">
        <f>(I20/J20)*10^6</f>
        <v>9256.5197306193131</v>
      </c>
    </row>
    <row r="21" spans="1:11" x14ac:dyDescent="0.2">
      <c r="A21" s="18" t="s">
        <v>73</v>
      </c>
      <c r="B21" s="33">
        <v>1983</v>
      </c>
      <c r="C21" s="34">
        <v>18.385379999999998</v>
      </c>
      <c r="D21" s="34">
        <v>10.452779999999999</v>
      </c>
      <c r="E21" s="34">
        <v>12.66408</v>
      </c>
      <c r="F21" s="34">
        <v>1.65564</v>
      </c>
      <c r="G21" s="34">
        <v>1.8396E-3</v>
      </c>
      <c r="H21" s="34">
        <v>1.5067199999999997E-4</v>
      </c>
      <c r="I21" s="34">
        <f>SUM(C21:H21)</f>
        <v>43.159870271999985</v>
      </c>
      <c r="J21">
        <v>4701</v>
      </c>
      <c r="K21" s="23">
        <f>(I21/J21)*10^6</f>
        <v>9180.9977179323523</v>
      </c>
    </row>
    <row r="22" spans="1:11" x14ac:dyDescent="0.2">
      <c r="A22" s="19" t="s">
        <v>52</v>
      </c>
      <c r="B22" s="33">
        <v>1984</v>
      </c>
      <c r="C22" s="34">
        <v>18.961020000000001</v>
      </c>
      <c r="D22" s="34">
        <v>11.407500000000001</v>
      </c>
      <c r="E22" s="34">
        <v>13.176539999999999</v>
      </c>
      <c r="F22" s="34">
        <v>1.9184399999999999</v>
      </c>
      <c r="G22" s="34">
        <v>5.2560000000000003E-3</v>
      </c>
      <c r="H22" s="34">
        <v>1.8834E-4</v>
      </c>
      <c r="I22" s="34">
        <f>SUM(C22:H22)</f>
        <v>45.468944340000007</v>
      </c>
      <c r="J22">
        <v>4786</v>
      </c>
      <c r="K22" s="23">
        <f>(I22/J22)*10^6</f>
        <v>9500.4062557459274</v>
      </c>
    </row>
    <row r="23" spans="1:11" x14ac:dyDescent="0.2">
      <c r="A23" s="19" t="s">
        <v>53</v>
      </c>
      <c r="B23" s="9">
        <v>1985</v>
      </c>
      <c r="C23" s="4">
        <v>18.666180000000001</v>
      </c>
      <c r="D23" s="4">
        <v>11.884859999999998</v>
      </c>
      <c r="E23" s="4">
        <v>13.899599999999998</v>
      </c>
      <c r="F23" s="4">
        <v>2.19</v>
      </c>
      <c r="G23" s="4">
        <v>8.9352000000000008E-3</v>
      </c>
      <c r="H23" s="4">
        <v>1.9972800000000004E-4</v>
      </c>
      <c r="I23" s="4">
        <f>SUM(C23:H23)</f>
        <v>46.649774927999999</v>
      </c>
      <c r="J23">
        <v>4873</v>
      </c>
      <c r="K23" s="23">
        <f>(I23/J23)*10^6</f>
        <v>9573.1120311922823</v>
      </c>
    </row>
    <row r="24" spans="1:11" x14ac:dyDescent="0.2">
      <c r="A24" s="21" t="s">
        <v>8</v>
      </c>
      <c r="B24" s="33">
        <v>1986</v>
      </c>
      <c r="C24" s="34">
        <v>19.473479999999999</v>
      </c>
      <c r="D24" s="34">
        <v>12.15864</v>
      </c>
      <c r="E24" s="34">
        <v>14.047019999999998</v>
      </c>
      <c r="F24" s="34">
        <v>2.4177599999999999</v>
      </c>
      <c r="G24" s="34">
        <v>1.11252E-2</v>
      </c>
      <c r="H24" s="34">
        <v>2.2776E-4</v>
      </c>
      <c r="I24" s="34">
        <f>SUM(C24:H24)</f>
        <v>48.108252960000002</v>
      </c>
      <c r="J24">
        <v>4963</v>
      </c>
      <c r="K24" s="23">
        <f>(I24/J24)*10^6</f>
        <v>9693.3816159580911</v>
      </c>
    </row>
    <row r="25" spans="1:11" x14ac:dyDescent="0.2">
      <c r="A25" s="21" t="s">
        <v>54</v>
      </c>
      <c r="B25" s="33">
        <v>1987</v>
      </c>
      <c r="C25" s="34">
        <v>19.333079999999999</v>
      </c>
      <c r="D25" s="34">
        <v>12.727259999999998</v>
      </c>
      <c r="E25" s="34">
        <v>14.475239999999999</v>
      </c>
      <c r="F25" s="34">
        <v>2.6017199999999998</v>
      </c>
      <c r="G25" s="34">
        <v>1.2702E-2</v>
      </c>
      <c r="H25" s="34">
        <v>2.5579199999999997E-4</v>
      </c>
      <c r="I25" s="34">
        <f>SUM(C25:H25)</f>
        <v>49.150257791999991</v>
      </c>
      <c r="J25">
        <v>5055</v>
      </c>
      <c r="K25" s="23">
        <f>(I25/J25)*10^6</f>
        <v>9723.0974860534116</v>
      </c>
    </row>
    <row r="26" spans="1:11" x14ac:dyDescent="0.2">
      <c r="A26" s="21" t="s">
        <v>55</v>
      </c>
      <c r="B26" s="9">
        <v>1988</v>
      </c>
      <c r="C26" s="4">
        <v>20.224619999999998</v>
      </c>
      <c r="D26" s="4">
        <v>13.337999999999999</v>
      </c>
      <c r="E26" s="4">
        <v>15.32466</v>
      </c>
      <c r="F26" s="4">
        <v>2.7155999999999998</v>
      </c>
      <c r="G26" s="4">
        <v>1.38408E-2</v>
      </c>
      <c r="H26" s="4">
        <v>2.9608800000000002E-4</v>
      </c>
      <c r="I26" s="4">
        <f>SUM(C26:H26)</f>
        <v>51.617016887999995</v>
      </c>
      <c r="J26">
        <v>5148</v>
      </c>
      <c r="K26" s="23">
        <f>(I26/J26)*10^6</f>
        <v>10026.615557109555</v>
      </c>
    </row>
    <row r="27" spans="1:11" x14ac:dyDescent="0.2">
      <c r="A27" s="22" t="s">
        <v>9</v>
      </c>
      <c r="B27" s="33">
        <v>1989</v>
      </c>
      <c r="C27" s="34">
        <v>20.484359999999995</v>
      </c>
      <c r="D27" s="34">
        <v>13.773239999999999</v>
      </c>
      <c r="E27" s="34">
        <v>15.366779999999999</v>
      </c>
      <c r="F27" s="34">
        <v>2.8031999999999999</v>
      </c>
      <c r="G27" s="34">
        <v>1.51548E-2</v>
      </c>
      <c r="H27" s="34">
        <v>3.52152E-4</v>
      </c>
      <c r="I27" s="34">
        <f>SUM(C27:H27)</f>
        <v>52.443086951999987</v>
      </c>
      <c r="J27">
        <v>5240</v>
      </c>
      <c r="K27" s="23">
        <f>(I27/J27)*10^6</f>
        <v>10008.222700763356</v>
      </c>
    </row>
    <row r="28" spans="1:11" x14ac:dyDescent="0.2">
      <c r="A28" s="41" t="s">
        <v>10</v>
      </c>
      <c r="B28" s="33">
        <v>1990</v>
      </c>
      <c r="C28" s="34">
        <v>20.75112</v>
      </c>
      <c r="D28" s="34">
        <v>14.110199999999999</v>
      </c>
      <c r="E28" s="34">
        <v>14.805179999999998</v>
      </c>
      <c r="F28" s="34">
        <v>2.8732799999999998</v>
      </c>
      <c r="G28" s="34">
        <v>1.69068E-2</v>
      </c>
      <c r="H28" s="34">
        <v>4.0734000000000001E-4</v>
      </c>
      <c r="I28" s="34">
        <f>SUM(C28:H28)</f>
        <v>52.557094140000004</v>
      </c>
      <c r="J28">
        <v>5330</v>
      </c>
      <c r="K28" s="23">
        <f>(I28/J28)*10^6</f>
        <v>9860.6180375234526</v>
      </c>
    </row>
    <row r="29" spans="1:11" x14ac:dyDescent="0.2">
      <c r="A29" s="18"/>
      <c r="B29" s="33">
        <v>1991</v>
      </c>
      <c r="C29" s="34">
        <v>20.554559999999999</v>
      </c>
      <c r="D29" s="34">
        <v>14.3559</v>
      </c>
      <c r="E29" s="34">
        <v>14.559479999999999</v>
      </c>
      <c r="F29" s="34">
        <v>2.847</v>
      </c>
      <c r="G29" s="34">
        <v>1.90092E-2</v>
      </c>
      <c r="H29" s="34">
        <v>4.8530399999999993E-4</v>
      </c>
      <c r="I29" s="34">
        <f>SUM(C29:H29)</f>
        <v>52.336434504000003</v>
      </c>
      <c r="J29">
        <v>5418</v>
      </c>
      <c r="K29" s="23">
        <f>(I29/J29)*10^6</f>
        <v>9659.7332048726475</v>
      </c>
    </row>
    <row r="30" spans="1:11" x14ac:dyDescent="0.2">
      <c r="A30" s="20" t="s">
        <v>75</v>
      </c>
      <c r="B30" s="9">
        <v>1992</v>
      </c>
      <c r="C30" s="4">
        <v>21.052979999999998</v>
      </c>
      <c r="D30" s="4">
        <v>14.3559</v>
      </c>
      <c r="E30" s="4">
        <v>14.727959999999999</v>
      </c>
      <c r="F30" s="4">
        <v>2.8645200000000002</v>
      </c>
      <c r="G30" s="4">
        <v>2.19876E-2</v>
      </c>
      <c r="H30" s="4">
        <v>5.0720399999999992E-4</v>
      </c>
      <c r="I30" s="4">
        <f>SUM(C30:H30)</f>
        <v>53.023854803999996</v>
      </c>
      <c r="J30">
        <v>5504</v>
      </c>
      <c r="K30" s="23">
        <f>(I30/J30)*10^6</f>
        <v>9633.6945501453483</v>
      </c>
    </row>
    <row r="31" spans="1:11" x14ac:dyDescent="0.2">
      <c r="A31" s="18" t="s">
        <v>76</v>
      </c>
      <c r="B31" s="33">
        <v>1993</v>
      </c>
      <c r="C31" s="34">
        <v>20.75112</v>
      </c>
      <c r="D31" s="34">
        <v>14.67882</v>
      </c>
      <c r="E31" s="34">
        <v>14.636699999999999</v>
      </c>
      <c r="F31" s="34">
        <v>2.9433600000000002</v>
      </c>
      <c r="G31" s="34">
        <v>1.7432400000000001E-2</v>
      </c>
      <c r="H31" s="34">
        <v>5.2647600000000001E-4</v>
      </c>
      <c r="I31" s="34">
        <f>SUM(C31:H31)</f>
        <v>53.027958875999992</v>
      </c>
      <c r="J31">
        <v>5588</v>
      </c>
      <c r="K31" s="23">
        <f>(I31/J31)*10^6</f>
        <v>9489.6132562634211</v>
      </c>
    </row>
    <row r="32" spans="1:11" x14ac:dyDescent="0.2">
      <c r="A32" s="18" t="s">
        <v>77</v>
      </c>
      <c r="B32" s="33">
        <v>1994</v>
      </c>
      <c r="C32" s="34">
        <v>20.961719999999996</v>
      </c>
      <c r="D32" s="34">
        <v>14.78412</v>
      </c>
      <c r="E32" s="34">
        <v>14.706899999999999</v>
      </c>
      <c r="F32" s="34">
        <v>2.96088</v>
      </c>
      <c r="G32" s="34">
        <v>3.2236800000000003E-2</v>
      </c>
      <c r="H32" s="34">
        <v>6.0794400000000002E-4</v>
      </c>
      <c r="I32" s="34">
        <f>SUM(C32:H32)</f>
        <v>53.446464743999996</v>
      </c>
      <c r="J32">
        <v>5670</v>
      </c>
      <c r="K32" s="23">
        <f>(I32/J32)*10^6</f>
        <v>9426.1842582010577</v>
      </c>
    </row>
    <row r="33" spans="1:21" x14ac:dyDescent="0.2">
      <c r="A33" s="18" t="s">
        <v>78</v>
      </c>
      <c r="B33" s="9">
        <v>1995</v>
      </c>
      <c r="C33" s="4">
        <v>21.19</v>
      </c>
      <c r="D33" s="4">
        <v>15.26</v>
      </c>
      <c r="E33" s="4">
        <v>14.93</v>
      </c>
      <c r="F33" s="4">
        <v>2.98</v>
      </c>
      <c r="G33" s="4">
        <v>0.04</v>
      </c>
      <c r="H33" s="34">
        <v>6.8941200000000003E-4</v>
      </c>
      <c r="I33" s="4">
        <f>SUM(C33:H33)</f>
        <v>54.400689411999998</v>
      </c>
      <c r="J33">
        <v>5751</v>
      </c>
      <c r="K33" s="23">
        <f>(I33/J33)*10^6</f>
        <v>9459.3443595896351</v>
      </c>
    </row>
    <row r="34" spans="1:21" x14ac:dyDescent="0.2">
      <c r="A34" s="18" t="s">
        <v>83</v>
      </c>
      <c r="B34" s="33">
        <v>1996</v>
      </c>
      <c r="C34" s="38">
        <v>21.72</v>
      </c>
      <c r="D34" s="34">
        <v>15.96</v>
      </c>
      <c r="E34" s="34">
        <v>15.46</v>
      </c>
      <c r="F34" s="34">
        <v>3</v>
      </c>
      <c r="G34" s="34">
        <v>0.05</v>
      </c>
      <c r="H34" s="34">
        <v>7.7999999999999999E-4</v>
      </c>
      <c r="I34" s="4">
        <f>SUM(C34:H34)</f>
        <v>56.190779999999997</v>
      </c>
      <c r="J34" s="23">
        <v>5831</v>
      </c>
      <c r="K34" s="23">
        <f>(I34/J34)*10^6</f>
        <v>9636.5597667638485</v>
      </c>
      <c r="L34" s="23"/>
    </row>
    <row r="35" spans="1:21" x14ac:dyDescent="0.2">
      <c r="A35" s="18" t="s">
        <v>84</v>
      </c>
      <c r="B35" s="33">
        <v>1997</v>
      </c>
      <c r="C35" s="38">
        <v>22.19</v>
      </c>
      <c r="D35" s="38">
        <v>15.88</v>
      </c>
      <c r="E35" s="38">
        <v>15.33</v>
      </c>
      <c r="F35" s="34">
        <v>3</v>
      </c>
      <c r="G35" s="34">
        <v>0.06</v>
      </c>
      <c r="H35" s="34">
        <v>1.1000000000000001E-3</v>
      </c>
      <c r="I35" s="4">
        <f>SUM(C35:H35)</f>
        <v>56.461100000000002</v>
      </c>
      <c r="J35" s="23">
        <v>5910</v>
      </c>
      <c r="K35" s="23">
        <f>(I35/J35)*10^6</f>
        <v>9553.4856175972927</v>
      </c>
      <c r="L35" s="23"/>
    </row>
    <row r="36" spans="1:21" x14ac:dyDescent="0.2">
      <c r="A36" s="15" t="s">
        <v>86</v>
      </c>
      <c r="B36" s="9">
        <v>1998</v>
      </c>
      <c r="C36" s="38">
        <v>22.17</v>
      </c>
      <c r="D36" s="34">
        <v>16.11</v>
      </c>
      <c r="E36" s="38">
        <v>15.01</v>
      </c>
      <c r="F36" s="34">
        <v>3</v>
      </c>
      <c r="G36" s="34">
        <v>0.08</v>
      </c>
      <c r="H36" s="34">
        <v>1.4E-3</v>
      </c>
      <c r="I36" s="4">
        <f>SUM(C36:H36)</f>
        <v>56.371399999999994</v>
      </c>
      <c r="J36" s="23">
        <v>5988</v>
      </c>
      <c r="K36" s="23">
        <f>(I36/J36)*10^6</f>
        <v>9414.0614562458231</v>
      </c>
      <c r="L36" s="23"/>
    </row>
    <row r="37" spans="1:21" x14ac:dyDescent="0.2">
      <c r="A37" s="15" t="s">
        <v>85</v>
      </c>
      <c r="B37" s="33">
        <v>1999</v>
      </c>
      <c r="C37" s="38">
        <v>22.37</v>
      </c>
      <c r="D37" s="34">
        <v>16.600000000000001</v>
      </c>
      <c r="E37" s="34">
        <v>14.52</v>
      </c>
      <c r="F37" s="34">
        <v>3.02</v>
      </c>
      <c r="G37" s="34">
        <v>0.11</v>
      </c>
      <c r="H37" s="34">
        <v>1.8E-3</v>
      </c>
      <c r="I37" s="4">
        <f>SUM(C37:H37)</f>
        <v>56.6218</v>
      </c>
      <c r="J37" s="23">
        <v>6066</v>
      </c>
      <c r="K37" s="23">
        <f>(I37/J37)*10^6</f>
        <v>9334.2894823606985</v>
      </c>
      <c r="L37" s="23"/>
    </row>
    <row r="38" spans="1:21" x14ac:dyDescent="0.2">
      <c r="A38" s="15" t="s">
        <v>0</v>
      </c>
      <c r="B38" s="9">
        <v>2000</v>
      </c>
      <c r="C38" s="38">
        <f>3539/3494*22.37</f>
        <v>22.65810818546079</v>
      </c>
      <c r="D38" s="34">
        <f>2195/2107*16.6</f>
        <v>17.293308020882773</v>
      </c>
      <c r="E38" s="34">
        <f>2148/2109*14.52</f>
        <v>14.78850640113798</v>
      </c>
      <c r="F38" s="34">
        <f>349/346*3.02</f>
        <v>3.046184971098266</v>
      </c>
      <c r="G38" s="34">
        <f>18450/13930*0.11</f>
        <v>0.14569274946159369</v>
      </c>
      <c r="H38" s="34">
        <f>1452/1164*0.0018</f>
        <v>2.245360824742268E-3</v>
      </c>
      <c r="I38" s="4">
        <f>SUM(C38:H38)</f>
        <v>57.934045688866149</v>
      </c>
      <c r="J38" s="23">
        <v>6145</v>
      </c>
      <c r="K38" s="23">
        <f>(I38/J38)*10^6</f>
        <v>9427.8349371629211</v>
      </c>
      <c r="L38" s="23"/>
    </row>
    <row r="39" spans="1:21" x14ac:dyDescent="0.2">
      <c r="A39" s="15" t="s">
        <v>87</v>
      </c>
      <c r="B39" s="33">
        <v>2001</v>
      </c>
      <c r="C39" s="38">
        <f>3552/3494*22.37</f>
        <v>22.741339439038352</v>
      </c>
      <c r="D39" s="34">
        <f>2219/2107*16.6</f>
        <v>17.482392026578072</v>
      </c>
      <c r="E39" s="34">
        <f>2217/2109*14.52</f>
        <v>15.263556187766714</v>
      </c>
      <c r="F39" s="34">
        <f>352/346*3.02</f>
        <v>3.0723699421965316</v>
      </c>
      <c r="G39" s="34">
        <f>24930/13930*0.11</f>
        <v>0.19686288585786071</v>
      </c>
      <c r="H39" s="34">
        <f>1851/1164*0.0018</f>
        <v>2.8623711340206182E-3</v>
      </c>
      <c r="I39" s="4">
        <f>SUM(C39:H39)</f>
        <v>58.759382852571548</v>
      </c>
      <c r="J39" s="23">
        <v>6223</v>
      </c>
      <c r="K39" s="23">
        <f>(I39/J39)*10^6</f>
        <v>9442.2919576685763</v>
      </c>
      <c r="L39" s="23"/>
    </row>
    <row r="40" spans="1:21" x14ac:dyDescent="0.2">
      <c r="A40" s="15"/>
      <c r="B40" s="9">
        <v>2002</v>
      </c>
      <c r="C40" s="38">
        <f>3581/3494*22.37</f>
        <v>22.927009158557528</v>
      </c>
      <c r="D40" s="34">
        <f>2282/2107*16.6</f>
        <v>17.97873754152824</v>
      </c>
      <c r="E40" s="34">
        <f>2413/2109*14.52</f>
        <v>16.612972972972972</v>
      </c>
      <c r="F40" s="34">
        <f>357/346*3.02</f>
        <v>3.1160115606936416</v>
      </c>
      <c r="G40" s="34">
        <f>32040/13930*0.11</f>
        <v>0.25300789662598711</v>
      </c>
      <c r="H40" s="34">
        <f>2411/1164*0.0018</f>
        <v>3.7283505154639177E-3</v>
      </c>
      <c r="I40" s="4">
        <f>SUM(C40:H40)</f>
        <v>60.891467480893837</v>
      </c>
      <c r="J40" s="23">
        <v>6302</v>
      </c>
      <c r="K40" s="23">
        <f>(I40/J40)*10^6</f>
        <v>9662.2449192151435</v>
      </c>
      <c r="L40" s="23"/>
    </row>
    <row r="41" spans="1:21" x14ac:dyDescent="0.2">
      <c r="A41" s="20" t="s">
        <v>79</v>
      </c>
      <c r="B41" s="33">
        <v>2003</v>
      </c>
      <c r="C41" s="38">
        <f>3642/3494*22.37</f>
        <v>23.317555809959934</v>
      </c>
      <c r="D41" s="34">
        <f>2343/2107*16.6</f>
        <v>18.4593260560038</v>
      </c>
      <c r="E41" s="34">
        <f>2614/2109*14.52</f>
        <v>17.996813655761024</v>
      </c>
      <c r="F41" s="34">
        <f>358/346*3.02</f>
        <v>3.124739884393064</v>
      </c>
      <c r="G41" s="34">
        <f>40300/13930*0.11</f>
        <v>0.31823402727925337</v>
      </c>
      <c r="H41" s="34">
        <f>3170/1164*0.0018</f>
        <v>4.9020618556701034E-3</v>
      </c>
      <c r="I41" s="4">
        <f>SUM(C41:H41)</f>
        <v>63.221571495252739</v>
      </c>
      <c r="J41" s="23">
        <v>6381</v>
      </c>
      <c r="K41" s="23">
        <f>(I41/J41)*10^6</f>
        <v>9907.784280716618</v>
      </c>
      <c r="L41" s="23"/>
    </row>
    <row r="42" spans="1:21" x14ac:dyDescent="0.2">
      <c r="A42" s="18" t="s">
        <v>80</v>
      </c>
      <c r="B42" s="9">
        <v>2004</v>
      </c>
      <c r="C42" s="38">
        <f>3767/3494*22.37</f>
        <v>24.117856325128791</v>
      </c>
      <c r="D42" s="34">
        <f>2420/2107*16.6</f>
        <v>19.065970574276225</v>
      </c>
      <c r="E42" s="34">
        <f>2778/2109*14.52</f>
        <v>19.125917496443812</v>
      </c>
      <c r="F42" s="34">
        <f>366/346*3.02</f>
        <v>3.1945664739884396</v>
      </c>
      <c r="G42" s="34">
        <f>47910/13930*0.11</f>
        <v>0.37832735104091886</v>
      </c>
      <c r="H42" s="34">
        <f>4365/1164*0.0018</f>
        <v>6.7499999999999999E-3</v>
      </c>
      <c r="I42" s="4">
        <f>SUM(C42:H42)</f>
        <v>65.889388220878189</v>
      </c>
      <c r="J42" s="23">
        <v>6461</v>
      </c>
      <c r="K42" s="23">
        <f>(I42/J42)*10^6</f>
        <v>10198.017059414671</v>
      </c>
      <c r="L42">
        <f>F42*160</f>
        <v>511.13063583815034</v>
      </c>
      <c r="M42">
        <f>G42/0.5*0.1</f>
        <v>7.5665470208183774E-2</v>
      </c>
      <c r="N42" s="39">
        <f>H42/0.5*0.1</f>
        <v>1.3500000000000001E-3</v>
      </c>
      <c r="O42">
        <f>E42*160</f>
        <v>3060.1467994310096</v>
      </c>
      <c r="Q42">
        <v>5</v>
      </c>
    </row>
    <row r="43" spans="1:21" x14ac:dyDescent="0.2">
      <c r="A43" s="18" t="s">
        <v>11</v>
      </c>
      <c r="B43" s="33">
        <v>2005</v>
      </c>
      <c r="C43" s="47">
        <v>25.235943141680902</v>
      </c>
      <c r="D43" s="47">
        <v>20.688915768684211</v>
      </c>
      <c r="E43" s="47">
        <v>19.422221470588234</v>
      </c>
      <c r="F43" s="46">
        <v>3.2553567078145145</v>
      </c>
      <c r="G43" s="46">
        <v>0.46114739435806673</v>
      </c>
      <c r="H43" s="46">
        <v>9.4873480555952988E-3</v>
      </c>
      <c r="I43" s="34">
        <f>SUM(C43:H43)</f>
        <v>69.073071831181522</v>
      </c>
      <c r="J43" s="48">
        <v>6542</v>
      </c>
      <c r="K43" s="23">
        <f>(I43/J43)*10^6</f>
        <v>10558.402909076967</v>
      </c>
      <c r="Q43" s="4"/>
    </row>
    <row r="44" spans="1:21" x14ac:dyDescent="0.2">
      <c r="A44" s="49" t="s">
        <v>102</v>
      </c>
      <c r="B44" s="33">
        <v>2006</v>
      </c>
      <c r="C44" s="47">
        <v>25.102916746703109</v>
      </c>
      <c r="D44" s="47">
        <v>21.364758663973685</v>
      </c>
      <c r="E44" s="47">
        <v>20.657192058823533</v>
      </c>
      <c r="F44" s="46">
        <v>3.3013426369022394</v>
      </c>
      <c r="G44" s="46">
        <v>0.58865376777322653</v>
      </c>
      <c r="H44" s="46">
        <v>1.296982885783886E-2</v>
      </c>
      <c r="I44" s="34">
        <f>SUM(C44:H44)</f>
        <v>71.027833703033608</v>
      </c>
      <c r="J44" s="48">
        <v>6623</v>
      </c>
      <c r="K44" s="23">
        <f>(I44/J44)*10^6</f>
        <v>10724.420006497601</v>
      </c>
      <c r="Q44" s="4"/>
      <c r="S44">
        <v>30</v>
      </c>
      <c r="U44">
        <v>6623</v>
      </c>
    </row>
    <row r="45" spans="1:21" x14ac:dyDescent="0.2">
      <c r="A45" s="18" t="s">
        <v>81</v>
      </c>
      <c r="B45" s="33">
        <v>2007</v>
      </c>
      <c r="C45" s="47">
        <v>24.999122464571233</v>
      </c>
      <c r="D45" s="47">
        <v>21.880490701999999</v>
      </c>
      <c r="E45" s="47">
        <v>21.529420588235293</v>
      </c>
      <c r="F45" s="46">
        <v>3.2311542057007339</v>
      </c>
      <c r="G45" s="46">
        <v>0.75593993189556896</v>
      </c>
      <c r="H45" s="46">
        <v>1.7275190528333453E-2</v>
      </c>
      <c r="I45" s="4">
        <f>SUM(C45:H45)</f>
        <v>72.413403082931168</v>
      </c>
      <c r="J45" s="48">
        <v>6706</v>
      </c>
      <c r="K45" s="23">
        <f>(I45/J45)*10^6</f>
        <v>10798.300489551322</v>
      </c>
      <c r="Q45" s="4"/>
      <c r="U45">
        <v>6706</v>
      </c>
    </row>
    <row r="46" spans="1:21" x14ac:dyDescent="0.2">
      <c r="A46" s="49" t="s">
        <v>103</v>
      </c>
      <c r="B46" s="33">
        <v>2008</v>
      </c>
      <c r="C46" s="47">
        <v>25.297450359754016</v>
      </c>
      <c r="D46" s="47">
        <v>22.229187609921055</v>
      </c>
      <c r="E46" s="47">
        <v>22.248993823529414</v>
      </c>
      <c r="F46" s="46">
        <v>3.2210109144220742</v>
      </c>
      <c r="G46" s="46">
        <v>0.96928951870986935</v>
      </c>
      <c r="H46" s="46">
        <v>2.8241070608254683E-2</v>
      </c>
      <c r="I46" s="34">
        <f>SUM(C46:H46)</f>
        <v>73.994173296944695</v>
      </c>
      <c r="J46" s="48">
        <v>6789</v>
      </c>
      <c r="K46" s="23">
        <f>(I46/J46)*10^6</f>
        <v>10899.127013837782</v>
      </c>
      <c r="Q46" s="4"/>
      <c r="U46">
        <v>6789</v>
      </c>
    </row>
    <row r="47" spans="1:21" x14ac:dyDescent="0.2">
      <c r="A47" s="18" t="s">
        <v>82</v>
      </c>
      <c r="B47" s="33">
        <v>2009</v>
      </c>
      <c r="C47" s="47">
        <v>24.893876756269215</v>
      </c>
      <c r="D47" s="47">
        <v>22.61959789276316</v>
      </c>
      <c r="E47" s="47">
        <v>22.732891176470588</v>
      </c>
      <c r="F47" s="46">
        <v>3.1905302708286127</v>
      </c>
      <c r="G47" s="46">
        <v>1.2296419115356243</v>
      </c>
      <c r="H47" s="46">
        <v>4.6917131451820977E-2</v>
      </c>
      <c r="I47" s="34">
        <f>SUM(C47:H47)</f>
        <v>74.713455139319024</v>
      </c>
      <c r="J47" s="48">
        <v>6873</v>
      </c>
      <c r="K47" s="23">
        <f>(I47/J47)*10^6</f>
        <v>10870.574005429802</v>
      </c>
      <c r="Q47" s="4"/>
      <c r="U47">
        <v>6873</v>
      </c>
    </row>
    <row r="48" spans="1:21" x14ac:dyDescent="0.2">
      <c r="A48" s="18"/>
      <c r="B48" s="33">
        <v>2010</v>
      </c>
      <c r="C48" s="47">
        <v>25.477778564537068</v>
      </c>
      <c r="D48" s="47">
        <v>23.472181077157892</v>
      </c>
      <c r="E48" s="47">
        <v>24.133812352941177</v>
      </c>
      <c r="F48" s="46">
        <v>3.2542750415044255</v>
      </c>
      <c r="G48" s="46">
        <v>1.5106959159213456</v>
      </c>
      <c r="H48" s="46">
        <v>7.5847013209211528E-2</v>
      </c>
      <c r="I48" s="34">
        <f>SUM(C48:H48)</f>
        <v>77.924589965271124</v>
      </c>
      <c r="J48" s="48">
        <v>6958</v>
      </c>
      <c r="K48" s="23">
        <f>(I48/J48)*10^6</f>
        <v>11199.279960516114</v>
      </c>
      <c r="Q48" s="4"/>
      <c r="U48">
        <v>6958</v>
      </c>
    </row>
    <row r="49" spans="1:21" x14ac:dyDescent="0.2">
      <c r="A49" s="18" t="s">
        <v>56</v>
      </c>
      <c r="B49" s="33">
        <v>2011</v>
      </c>
      <c r="C49" s="47">
        <v>25.50192031923471</v>
      </c>
      <c r="D49" s="47">
        <v>24.062416572710525</v>
      </c>
      <c r="E49" s="47">
        <v>25.748282647058829</v>
      </c>
      <c r="F49" s="46">
        <v>3.1201853732847726</v>
      </c>
      <c r="G49" s="46">
        <v>1.9315955353827692</v>
      </c>
      <c r="H49" s="46">
        <v>0.14510569378499102</v>
      </c>
      <c r="I49" s="4">
        <f>SUM(C49:H49)</f>
        <v>80.509506141456583</v>
      </c>
      <c r="J49" s="48">
        <v>7043</v>
      </c>
      <c r="K49" s="23">
        <f>(I49/J49)*10^6</f>
        <v>11431.138171440662</v>
      </c>
      <c r="Q49" s="4"/>
      <c r="U49">
        <v>7043</v>
      </c>
    </row>
    <row r="50" spans="1:21" x14ac:dyDescent="0.2">
      <c r="A50" s="18" t="s">
        <v>57</v>
      </c>
      <c r="B50" s="33">
        <v>2012</v>
      </c>
      <c r="C50" s="47">
        <v>25.989081143047489</v>
      </c>
      <c r="D50" s="47">
        <v>25.081062429552631</v>
      </c>
      <c r="E50" s="47">
        <v>26.523130882352941</v>
      </c>
      <c r="F50" s="46">
        <v>2.9076730055577129</v>
      </c>
      <c r="G50" s="46">
        <v>2.3313337539072529</v>
      </c>
      <c r="H50" s="46">
        <v>0.22436763761206904</v>
      </c>
      <c r="I50" s="34">
        <f>SUM(C50:H50)</f>
        <v>83.056648852030108</v>
      </c>
      <c r="J50" s="48">
        <v>7128</v>
      </c>
      <c r="K50" s="23">
        <f>(I50/J50)*10^6</f>
        <v>11652.167347366738</v>
      </c>
      <c r="Q50" s="4"/>
      <c r="U50">
        <v>7128</v>
      </c>
    </row>
    <row r="51" spans="1:21" x14ac:dyDescent="0.2">
      <c r="A51" s="18" t="s">
        <v>59</v>
      </c>
      <c r="B51" s="33">
        <v>2013</v>
      </c>
      <c r="C51" s="47">
        <v>26.029591226955926</v>
      </c>
      <c r="D51" s="47">
        <v>25.383601793894737</v>
      </c>
      <c r="E51" s="47">
        <v>26.590545882352941</v>
      </c>
      <c r="F51" s="46">
        <v>2.9317056705368101</v>
      </c>
      <c r="G51" s="46">
        <v>2.8513727380040996</v>
      </c>
      <c r="H51" s="46">
        <v>0.30853809390368725</v>
      </c>
      <c r="I51" s="34">
        <f>SUM(C51:H51)</f>
        <v>84.09535540564822</v>
      </c>
      <c r="J51" s="48">
        <v>7213</v>
      </c>
      <c r="K51" s="23">
        <f>(I51/J51)*10^6</f>
        <v>11658.859754006407</v>
      </c>
      <c r="Q51" s="4"/>
      <c r="U51">
        <v>7213</v>
      </c>
    </row>
    <row r="52" spans="1:21" x14ac:dyDescent="0.2">
      <c r="A52" s="18" t="s">
        <v>58</v>
      </c>
      <c r="B52" s="33">
        <v>2014</v>
      </c>
      <c r="C52" s="47">
        <v>26.668827469695934</v>
      </c>
      <c r="D52" s="47">
        <v>26.599903186842106</v>
      </c>
      <c r="E52" s="47">
        <v>26.527543096735297</v>
      </c>
      <c r="F52" s="46">
        <v>2.9896978070000557</v>
      </c>
      <c r="G52" s="46">
        <v>3.1384857166946842</v>
      </c>
      <c r="H52" s="46">
        <v>0.44035837201118533</v>
      </c>
      <c r="I52" s="34">
        <f>SUM(C52:H52)</f>
        <v>86.364815648979274</v>
      </c>
      <c r="J52" s="48">
        <v>7298</v>
      </c>
      <c r="K52" s="23">
        <f>(I52/J52)*10^6</f>
        <v>11834.038866672963</v>
      </c>
      <c r="L52">
        <f>F52*160</f>
        <v>478.35164912000891</v>
      </c>
      <c r="M52">
        <f>G52/0.5*0.1</f>
        <v>0.62769714333893689</v>
      </c>
      <c r="N52" s="39">
        <f>H52/0.5*0.1</f>
        <v>8.8071674402237066E-2</v>
      </c>
      <c r="O52">
        <f>E52*160</f>
        <v>4244.4068954776476</v>
      </c>
      <c r="Q52" s="4"/>
      <c r="U52">
        <v>7298</v>
      </c>
    </row>
    <row r="53" spans="1:21" ht="33.75" x14ac:dyDescent="0.2">
      <c r="A53" s="18" t="s">
        <v>97</v>
      </c>
      <c r="B53" s="8" t="s">
        <v>39</v>
      </c>
      <c r="C53" s="8" t="s">
        <v>40</v>
      </c>
      <c r="D53" s="8" t="s">
        <v>41</v>
      </c>
      <c r="E53" s="8" t="s">
        <v>42</v>
      </c>
      <c r="F53" s="8" t="s">
        <v>45</v>
      </c>
      <c r="G53" s="8" t="s">
        <v>43</v>
      </c>
      <c r="H53" s="8" t="s">
        <v>44</v>
      </c>
      <c r="I53" s="8" t="s">
        <v>46</v>
      </c>
      <c r="J53" s="8" t="s">
        <v>101</v>
      </c>
      <c r="K53" s="8" t="s">
        <v>48</v>
      </c>
      <c r="L53" s="31" t="s">
        <v>3</v>
      </c>
      <c r="M53" s="31" t="s">
        <v>90</v>
      </c>
      <c r="N53" s="31" t="s">
        <v>91</v>
      </c>
      <c r="O53" s="31" t="s">
        <v>4</v>
      </c>
      <c r="P53" s="31" t="s">
        <v>100</v>
      </c>
      <c r="Q53" s="31" t="s">
        <v>92</v>
      </c>
      <c r="U53">
        <v>7383</v>
      </c>
    </row>
    <row r="54" spans="1:21" x14ac:dyDescent="0.2">
      <c r="A54" s="18" t="s">
        <v>96</v>
      </c>
      <c r="B54" s="33">
        <v>2015</v>
      </c>
      <c r="C54" s="47"/>
      <c r="D54" s="47"/>
      <c r="E54" s="47"/>
      <c r="F54" s="46"/>
      <c r="G54" s="46"/>
      <c r="H54" s="46"/>
      <c r="I54" s="4">
        <f>SUM(C54:H54)</f>
        <v>0</v>
      </c>
      <c r="J54">
        <f>J52*(1+(0.018+((A$60-0.018)/(2041-B54))))</f>
        <v>7429.9253846153852</v>
      </c>
      <c r="K54" s="23">
        <f>(I54/J54)*10^6</f>
        <v>0</v>
      </c>
      <c r="L54">
        <f>(F54-F52)*160</f>
        <v>-478.35164912000891</v>
      </c>
      <c r="M54">
        <f>IF((G54-G52)*0.1/0.5&gt;=0,(G54-G52)*0.1/0.5,0)</f>
        <v>0</v>
      </c>
      <c r="N54">
        <f>IF((H54-H52)*0.1/0.5&gt;=0,(H54-H52)*0.1/0.5,0)</f>
        <v>0</v>
      </c>
      <c r="O54">
        <f>(E54-E52)*160</f>
        <v>-4244.4068954776476</v>
      </c>
      <c r="P54">
        <f>((SIGN(C54-C52)*(SIGN(C54-C52)+1)/2*(C54-C52))+(SIGN(D54-D52)*(SIGN(D54-D52)+1)/2*(D54-D52))+(SIGN(E54-E52)*(SIGN(E54-E52)+1)/2*(E54-E52))+(SIGN(F54-F52)*(SIGN(F54-F52)+1)/2*(F54-F52))+(SIGN(G54-G52)*(SIGN(G54-G52)+1)/2*(G54-G52))+(SIGN(H54-H52)*(SIGN(H54-H52)+1)/2*(H54-H52)))</f>
        <v>0</v>
      </c>
      <c r="Q54" s="4">
        <f>IF((P54-0.5)&gt;0,(P54-0.5)*200,0)</f>
        <v>0</v>
      </c>
    </row>
    <row r="55" spans="1:21" x14ac:dyDescent="0.2">
      <c r="A55" s="18" t="s">
        <v>95</v>
      </c>
      <c r="B55" s="33">
        <v>2016</v>
      </c>
      <c r="C55" s="47"/>
      <c r="D55" s="47"/>
      <c r="E55" s="47"/>
      <c r="F55" s="46"/>
      <c r="G55" s="46"/>
      <c r="H55" s="46"/>
      <c r="I55" s="34">
        <f>SUM(C55:H55)</f>
        <v>0</v>
      </c>
      <c r="J55">
        <f>J54*(1+(0.018+((A$60-0.018)/(2041-B55))))</f>
        <v>7564.2584355692325</v>
      </c>
      <c r="K55" s="23">
        <f>(I55/J55)*10^6</f>
        <v>0</v>
      </c>
      <c r="L55">
        <f>(F55-F54)*160</f>
        <v>0</v>
      </c>
      <c r="M55">
        <f>IF((G55-G54)*0.1/0.5&gt;=0,(G55-G54)*0.1/0.5,0)</f>
        <v>0</v>
      </c>
      <c r="N55">
        <f>IF((H55-H54)*0.1/0.5&gt;=0,(H55-H54)*0.1/0.5,0)</f>
        <v>0</v>
      </c>
      <c r="O55">
        <f>(E55-E54)*160</f>
        <v>0</v>
      </c>
      <c r="P55">
        <f>((SIGN(C55-C54)*(SIGN(C55-C54)+1)/2*(C55-C54))+(SIGN(D55-D54)*(SIGN(D55-D54)+1)/2*(D55-D54))+(SIGN(E55-E54)*(SIGN(E55-E54)+1)/2*(E55-E54))+(SIGN(F55-F54)*(SIGN(F55-F54)+1)/2*(F55-F54))+(SIGN(G55-G54)*(SIGN(G55-G54)+1)/2*(G55-G54))+(SIGN(H55-H54)*(SIGN(H55-H54)+1)/2*(H55-H54)))</f>
        <v>0</v>
      </c>
      <c r="Q55" s="4">
        <f>IF((P55-0.5)&gt;0,(P55-0.5)*200,0)</f>
        <v>0</v>
      </c>
    </row>
    <row r="56" spans="1:21" x14ac:dyDescent="0.2">
      <c r="A56" s="18" t="s">
        <v>60</v>
      </c>
      <c r="B56" s="33">
        <v>2017</v>
      </c>
      <c r="C56" s="4"/>
      <c r="D56" s="4"/>
      <c r="E56" s="4"/>
      <c r="F56" s="4"/>
      <c r="G56" s="4"/>
      <c r="H56" s="4"/>
      <c r="I56" s="34">
        <f>SUM(C56:H56)</f>
        <v>0</v>
      </c>
      <c r="J56">
        <f>J55*(1+(0.018+((A$60-0.018)/(2041-B56))))</f>
        <v>7701.045442279109</v>
      </c>
      <c r="K56" s="23">
        <f>(I56/J56)*10^6</f>
        <v>0</v>
      </c>
      <c r="L56">
        <f>(F56-F55)*160</f>
        <v>0</v>
      </c>
      <c r="M56">
        <f>IF((G56-G55)*0.1/0.5&gt;=0,(G56-G55)*0.1/0.5,0)</f>
        <v>0</v>
      </c>
      <c r="N56">
        <f>IF((H56-H55)*0.1/0.5&gt;=0,(H56-H55)*0.1/0.5,0)</f>
        <v>0</v>
      </c>
      <c r="O56">
        <f>(E56-E55)*160</f>
        <v>0</v>
      </c>
      <c r="P56">
        <f>((SIGN(C56-C55)*(SIGN(C56-C55)+1)/2*(C56-C55))+(SIGN(D56-D55)*(SIGN(D56-D55)+1)/2*(D56-D55))+(SIGN(E56-E55)*(SIGN(E56-E55)+1)/2*(E56-E55))+(SIGN(F56-F55)*(SIGN(F56-F55)+1)/2*(F56-F55))+(SIGN(G56-G55)*(SIGN(G56-G55)+1)/2*(G56-G55))+(SIGN(H56-H55)*(SIGN(H56-H55)+1)/2*(H56-H55)))</f>
        <v>0</v>
      </c>
      <c r="Q56" s="4">
        <f>IF((P56-0.5)&gt;0,(P56-0.5)*200,0)</f>
        <v>0</v>
      </c>
    </row>
    <row r="57" spans="1:21" x14ac:dyDescent="0.2">
      <c r="A57" s="18" t="s">
        <v>61</v>
      </c>
      <c r="B57" s="33">
        <v>2018</v>
      </c>
      <c r="C57" s="47"/>
      <c r="D57" s="47"/>
      <c r="E57" s="47"/>
      <c r="F57" s="46"/>
      <c r="G57" s="4"/>
      <c r="H57" s="4"/>
      <c r="I57" s="34">
        <f>SUM(C57:H57)</f>
        <v>0</v>
      </c>
      <c r="J57">
        <f>J56*(1+(0.018+((A$60-0.018)/(2041-B57))))</f>
        <v>7840.3339163655492</v>
      </c>
      <c r="K57" s="23">
        <f>(I57/J57)*10^6</f>
        <v>0</v>
      </c>
      <c r="L57">
        <f>(F57-F56)*160</f>
        <v>0</v>
      </c>
      <c r="M57">
        <f>IF((G57-G56)*0.1/0.5&gt;=0,(G57-G56)*0.1/0.5,0)</f>
        <v>0</v>
      </c>
      <c r="N57">
        <f>IF((H57-H56)*0.1/0.5&gt;=0,(H57-H56)*0.1/0.5,0)</f>
        <v>0</v>
      </c>
      <c r="O57">
        <f>(E57-E56)*160</f>
        <v>0</v>
      </c>
      <c r="P57">
        <f>((SIGN(C57-C56)*(SIGN(C57-C56)+1)/2*(C57-C56))+(SIGN(D57-D56)*(SIGN(D57-D56)+1)/2*(D57-D56))+(SIGN(E57-E56)*(SIGN(E57-E56)+1)/2*(E57-E56))+(SIGN(F57-F56)*(SIGN(F57-F56)+1)/2*(F57-F56))+(SIGN(G57-G56)*(SIGN(G57-G56)+1)/2*(G57-G56))+(SIGN(H57-H56)*(SIGN(H57-H56)+1)/2*(H57-H56)))</f>
        <v>0</v>
      </c>
      <c r="Q57" s="4">
        <f>IF((P57-0.5)&gt;0,(P57-0.5)*200,0)</f>
        <v>0</v>
      </c>
    </row>
    <row r="58" spans="1:21" x14ac:dyDescent="0.2">
      <c r="A58" s="20" t="s">
        <v>6</v>
      </c>
      <c r="B58" s="33">
        <v>2019</v>
      </c>
      <c r="C58" s="4"/>
      <c r="D58" s="4"/>
      <c r="E58" s="4"/>
      <c r="F58" s="4"/>
      <c r="G58" s="4"/>
      <c r="H58" s="4"/>
      <c r="I58" s="4">
        <f>SUM(C58:H58)</f>
        <v>0</v>
      </c>
      <c r="J58">
        <f>J57*(1+(0.018+((A$60-0.018)/(2041-B58))))</f>
        <v>7982.1726844888899</v>
      </c>
      <c r="K58" s="23">
        <f>(I58/J58)*10^6</f>
        <v>0</v>
      </c>
      <c r="L58">
        <f>(F58-F57)*160</f>
        <v>0</v>
      </c>
      <c r="M58">
        <f>IF((G58-G57)*0.1/0.5&gt;=0,(G58-G57)*0.1/0.5,0)</f>
        <v>0</v>
      </c>
      <c r="N58">
        <f>IF((H58-H57)*0.1/0.5&gt;=0,(H58-H57)*0.1/0.5,0)</f>
        <v>0</v>
      </c>
      <c r="O58">
        <f>(E58-E57)*160</f>
        <v>0</v>
      </c>
      <c r="P58">
        <f>((SIGN(C58-C57)*(SIGN(C58-C57)+1)/2*(C58-C57))+(SIGN(D58-D57)*(SIGN(D58-D57)+1)/2*(D58-D57))+(SIGN(E58-E57)*(SIGN(E58-E57)+1)/2*(E58-E57))+(SIGN(F58-F57)*(SIGN(F58-F57)+1)/2*(F58-F57))+(SIGN(G58-G57)*(SIGN(G58-G57)+1)/2*(G58-G57))+(SIGN(H58-H57)*(SIGN(H58-H57)+1)/2*(H58-H57)))</f>
        <v>0</v>
      </c>
      <c r="Q58" s="4">
        <f>IF((P58-0.5)&gt;0,(P58-0.5)*200,0)</f>
        <v>0</v>
      </c>
    </row>
    <row r="59" spans="1:21" x14ac:dyDescent="0.2">
      <c r="A59" s="20" t="s">
        <v>5</v>
      </c>
      <c r="B59" s="33">
        <v>2020</v>
      </c>
      <c r="C59" s="4"/>
      <c r="D59" s="4"/>
      <c r="E59" s="4"/>
      <c r="F59" s="4"/>
      <c r="G59" s="4"/>
      <c r="H59" s="4"/>
      <c r="I59" s="34">
        <f>SUM(C59:H59)</f>
        <v>0</v>
      </c>
      <c r="J59">
        <f>J58*(1+(0.018+((A$60-0.018)/(2041-B59))))</f>
        <v>8126.6119997320229</v>
      </c>
      <c r="K59" s="23">
        <f>(I59/J59)*10^6</f>
        <v>0</v>
      </c>
      <c r="L59">
        <f>(F59-F58)*160</f>
        <v>0</v>
      </c>
      <c r="M59">
        <f>IF((G59-G58)*0.1/0.5&gt;=0,(G59-G58)*0.1/0.5,0)</f>
        <v>0</v>
      </c>
      <c r="N59">
        <f>IF((H59-H58)*0.1/0.5&gt;=0,(H59-H58)*0.1/0.5,0)</f>
        <v>0</v>
      </c>
      <c r="O59">
        <f>(E59-E58)*160</f>
        <v>0</v>
      </c>
      <c r="P59">
        <f>((SIGN(C59-C58)*(SIGN(C59-C58)+1)/2*(C59-C58))+(SIGN(D59-D58)*(SIGN(D59-D58)+1)/2*(D59-D58))+(SIGN(E59-E58)*(SIGN(E59-E58)+1)/2*(E59-E58))+(SIGN(F59-F58)*(SIGN(F59-F58)+1)/2*(F59-F58))+(SIGN(G59-G58)*(SIGN(G59-G58)+1)/2*(G59-G58))+(SIGN(H59-H58)*(SIGN(H59-H58)+1)/2*(H59-H58)))</f>
        <v>0</v>
      </c>
      <c r="Q59" s="4">
        <f>IF((P59-0.5)&gt;0,(P59-0.5)*200,0)</f>
        <v>0</v>
      </c>
    </row>
    <row r="60" spans="1:21" x14ac:dyDescent="0.2">
      <c r="A60" s="35">
        <f>(S44/1000)-0.01</f>
        <v>1.9999999999999997E-2</v>
      </c>
      <c r="B60" s="33">
        <v>2021</v>
      </c>
      <c r="C60" s="4"/>
      <c r="D60" s="4"/>
      <c r="E60" s="4"/>
      <c r="F60" s="4"/>
      <c r="G60" s="4"/>
      <c r="H60" s="4"/>
      <c r="I60" s="34">
        <f>SUM(C60:H60)</f>
        <v>0</v>
      </c>
      <c r="J60">
        <f>J59*(1+(0.018+((A$60-0.018)/(2041-B60))))</f>
        <v>8273.7036769271726</v>
      </c>
      <c r="K60" s="23">
        <f>(I60/J60)*10^6</f>
        <v>0</v>
      </c>
      <c r="L60">
        <f>(F60-F59)*160</f>
        <v>0</v>
      </c>
      <c r="M60">
        <f>IF((G60-G59)*0.1/0.5&gt;=0,(G60-G59)*0.1/0.5,0)</f>
        <v>0</v>
      </c>
      <c r="N60">
        <f>IF((H60-H59)*0.1/0.5&gt;=0,(H60-H59)*0.1/0.5,0)</f>
        <v>0</v>
      </c>
      <c r="O60">
        <f>(E60-E59)*160</f>
        <v>0</v>
      </c>
      <c r="P60">
        <f>((SIGN(C60-C59)*(SIGN(C60-C59)+1)/2*(C60-C59))+(SIGN(D60-D59)*(SIGN(D60-D59)+1)/2*(D60-D59))+(SIGN(E60-E59)*(SIGN(E60-E59)+1)/2*(E60-E59))+(SIGN(F60-F59)*(SIGN(F60-F59)+1)/2*(F60-F59))+(SIGN(G60-G59)*(SIGN(G60-G59)+1)/2*(G60-G59))+(SIGN(H60-H59)*(SIGN(H60-H59)+1)/2*(H60-H59)))</f>
        <v>0</v>
      </c>
      <c r="Q60" s="4">
        <f>IF((P60-0.5)&gt;0,(P60-0.5)*200,0)</f>
        <v>0</v>
      </c>
    </row>
    <row r="61" spans="1:21" x14ac:dyDescent="0.2">
      <c r="A61" s="20" t="s">
        <v>36</v>
      </c>
      <c r="B61" s="33">
        <v>2022</v>
      </c>
      <c r="C61" s="4"/>
      <c r="D61" s="4"/>
      <c r="E61" s="4"/>
      <c r="F61" s="4"/>
      <c r="G61" s="4"/>
      <c r="H61" s="4"/>
      <c r="I61" s="34">
        <f>SUM(C61:H61)</f>
        <v>0</v>
      </c>
      <c r="J61">
        <f>J60*(1+(0.018+((A$60-0.018)/(2041-B61))))</f>
        <v>8423.5012592883813</v>
      </c>
      <c r="K61" s="23">
        <f>(I61/J61)*10^6</f>
        <v>0</v>
      </c>
      <c r="L61">
        <f>(F61-F60)*160</f>
        <v>0</v>
      </c>
      <c r="M61">
        <f>IF((G61-G60)*0.1/0.5&gt;=0,(G61-G60)*0.1/0.5,0)</f>
        <v>0</v>
      </c>
      <c r="N61">
        <f>IF((H61-H60)*0.1/0.5&gt;=0,(H61-H60)*0.1/0.5,0)</f>
        <v>0</v>
      </c>
      <c r="O61">
        <f>(E61-E60)*160</f>
        <v>0</v>
      </c>
      <c r="P61">
        <f>((SIGN(C61-C60)*(SIGN(C61-C60)+1)/2*(C61-C60))+(SIGN(D61-D60)*(SIGN(D61-D60)+1)/2*(D61-D60))+(SIGN(E61-E60)*(SIGN(E61-E60)+1)/2*(E61-E60))+(SIGN(F61-F60)*(SIGN(F61-F60)+1)/2*(F61-F60))+(SIGN(G61-G60)*(SIGN(G61-G60)+1)/2*(G61-G60))+(SIGN(H61-H60)*(SIGN(H61-H60)+1)/2*(H61-H60)))</f>
        <v>0</v>
      </c>
      <c r="Q61" s="4">
        <f>IF((P61-0.5)&gt;0,(P61-0.5)*200,0)</f>
        <v>0</v>
      </c>
    </row>
    <row r="62" spans="1:21" x14ac:dyDescent="0.2">
      <c r="A62" s="37">
        <f>J83*10^6</f>
        <v>12657097862.323135</v>
      </c>
      <c r="B62" s="33">
        <v>2023</v>
      </c>
      <c r="C62" s="4"/>
      <c r="D62" s="4"/>
      <c r="E62" s="4"/>
      <c r="F62" s="4"/>
      <c r="G62" s="34"/>
      <c r="H62" s="34"/>
      <c r="I62" s="4">
        <f>SUM(C62:H62)</f>
        <v>0</v>
      </c>
      <c r="J62">
        <f>J61*(1+(0.018+((A$60-0.018)/(2041-B62))))</f>
        <v>8576.0602265399375</v>
      </c>
      <c r="K62" s="23">
        <f>(I62/J62)*10^6</f>
        <v>0</v>
      </c>
      <c r="L62">
        <f>(F62-F61)*160</f>
        <v>0</v>
      </c>
      <c r="M62">
        <f>IF((G62-G61)*0.1/0.5&gt;=0,(G62-G61)*0.1/0.5,0)</f>
        <v>0</v>
      </c>
      <c r="N62">
        <f>IF((H62-H61)*0.1/0.5&gt;=0,(H62-H61)*0.1/0.5,0)</f>
        <v>0</v>
      </c>
      <c r="O62">
        <f>(E62-E61)*160</f>
        <v>0</v>
      </c>
      <c r="P62">
        <f>((SIGN(C62-C61)*(SIGN(C62-C61)+1)/2*(C62-C61))+(SIGN(D62-D61)*(SIGN(D62-D61)+1)/2*(D62-D61))+(SIGN(E62-E61)*(SIGN(E62-E61)+1)/2*(E62-E61))+(SIGN(F62-F61)*(SIGN(F62-F61)+1)/2*(F62-F61))+(SIGN(G62-G61)*(SIGN(G62-G61)+1)/2*(G62-G61))+(SIGN(H62-H61)*(SIGN(H62-H61)+1)/2*(H62-H61)))</f>
        <v>0</v>
      </c>
      <c r="Q62" s="4">
        <f>IF((P62-0.5)&gt;0,(P62-0.5)*200,0)</f>
        <v>0</v>
      </c>
    </row>
    <row r="63" spans="1:21" x14ac:dyDescent="0.2">
      <c r="B63" s="33">
        <v>2024</v>
      </c>
      <c r="C63" s="38"/>
      <c r="D63" s="38"/>
      <c r="E63" s="4"/>
      <c r="F63" s="34"/>
      <c r="G63" s="34"/>
      <c r="H63" s="34"/>
      <c r="I63" s="34">
        <f>SUM(C63:H63)</f>
        <v>0</v>
      </c>
      <c r="J63">
        <f>J62*(1+(0.018+((A$60-0.018)/(2041-B63))))</f>
        <v>8731.4382588796034</v>
      </c>
      <c r="K63" s="23">
        <f>(I63/J63)*10^6</f>
        <v>0</v>
      </c>
      <c r="L63">
        <f>(F63-F62)*160</f>
        <v>0</v>
      </c>
      <c r="M63">
        <f>IF((G63-G62)*0.1/0.5&gt;=0,(G63-G62)*0.1/0.5,0)</f>
        <v>0</v>
      </c>
      <c r="N63">
        <f>IF((H63-H62)*0.1/0.5&gt;=0,(H63-H62)*0.1/0.5,0)</f>
        <v>0</v>
      </c>
      <c r="O63">
        <f>(E63-E62)*160</f>
        <v>0</v>
      </c>
      <c r="P63">
        <f>((SIGN(C63-C62)*(SIGN(C63-C62)+1)/2*(C63-C62))+(SIGN(D63-D62)*(SIGN(D63-D62)+1)/2*(D63-D62))+(SIGN(E63-E62)*(SIGN(E63-E62)+1)/2*(E63-E62))+(SIGN(F63-F62)*(SIGN(F63-F62)+1)/2*(F63-F62))+(SIGN(G63-G62)*(SIGN(G63-G62)+1)/2*(G63-G62))+(SIGN(H63-H62)*(SIGN(H63-H62)+1)/2*(H63-H62)))</f>
        <v>0</v>
      </c>
      <c r="Q63" s="4">
        <f>IF((P63-0.5)&gt;0,(P63-0.5)*200,0)</f>
        <v>0</v>
      </c>
    </row>
    <row r="64" spans="1:21" x14ac:dyDescent="0.2">
      <c r="B64" s="33">
        <v>2025</v>
      </c>
      <c r="C64" s="4"/>
      <c r="D64" s="4"/>
      <c r="E64" s="4"/>
      <c r="F64" s="4"/>
      <c r="G64" s="34"/>
      <c r="H64" s="34"/>
      <c r="I64" s="34">
        <f>SUM(C64:H64)</f>
        <v>0</v>
      </c>
      <c r="J64">
        <f>J63*(1+(0.018+((A$60-0.018)/(2041-B64))))</f>
        <v>8889.695577321796</v>
      </c>
      <c r="K64" s="23">
        <f>(I64/J64)*10^6</f>
        <v>0</v>
      </c>
      <c r="L64">
        <f>(F64-F63)*160</f>
        <v>0</v>
      </c>
      <c r="M64">
        <f>IF((G64-G63)*0.1/0.5&gt;=0,(G64-G63)*0.1/0.5,0)</f>
        <v>0</v>
      </c>
      <c r="N64">
        <f>IF((H64-H63)*0.1/0.5&gt;=0,(H64-H63)*0.1/0.5,0)</f>
        <v>0</v>
      </c>
      <c r="O64">
        <f>(E64-E63)*160</f>
        <v>0</v>
      </c>
      <c r="P64">
        <f>((SIGN(C64-C63)*(SIGN(C64-C63)+1)/2*(C64-C63))+(SIGN(D64-D63)*(SIGN(D64-D63)+1)/2*(D64-D63))+(SIGN(E64-E63)*(SIGN(E64-E63)+1)/2*(E64-E63))+(SIGN(F64-F63)*(SIGN(F64-F63)+1)/2*(F64-F63))+(SIGN(G64-G63)*(SIGN(G64-G63)+1)/2*(G64-G63))+(SIGN(H64-H63)*(SIGN(H64-H63)+1)/2*(H64-H63)))</f>
        <v>0</v>
      </c>
      <c r="Q64" s="4">
        <f>IF((P64-0.5)&gt;0,(P64-0.5)*200,0)</f>
        <v>0</v>
      </c>
    </row>
    <row r="65" spans="1:17" x14ac:dyDescent="0.2">
      <c r="B65" s="33">
        <v>2026</v>
      </c>
      <c r="C65" s="38"/>
      <c r="D65" s="38"/>
      <c r="E65" s="4"/>
      <c r="F65" s="34"/>
      <c r="G65" s="34"/>
      <c r="H65" s="34"/>
      <c r="I65" s="34">
        <f>SUM(C65:H65)</f>
        <v>0</v>
      </c>
      <c r="J65">
        <f>J64*(1+(0.018+((A$60-0.018)/(2041-B65))))</f>
        <v>9050.8953904572318</v>
      </c>
      <c r="K65" s="23">
        <f>(I65/J65)*10^6</f>
        <v>0</v>
      </c>
      <c r="L65">
        <f>(F65-F64)*160</f>
        <v>0</v>
      </c>
      <c r="M65">
        <f>IF((G65-G64)*0.1/0.5&gt;=0,(G65-G64)*0.1/0.5,0)</f>
        <v>0</v>
      </c>
      <c r="N65">
        <f>IF((H65-H64)*0.1/0.5&gt;=0,(H65-H64)*0.1/0.5,0)</f>
        <v>0</v>
      </c>
      <c r="O65">
        <f>(E65-E64)*160</f>
        <v>0</v>
      </c>
      <c r="P65">
        <f>((SIGN(C65-C64)*(SIGN(C65-C64)+1)/2*(C65-C64))+(SIGN(D65-D64)*(SIGN(D65-D64)+1)/2*(D65-D64))+(SIGN(E65-E64)*(SIGN(E65-E64)+1)/2*(E65-E64))+(SIGN(F65-F64)*(SIGN(F65-F64)+1)/2*(F65-F64))+(SIGN(G65-G64)*(SIGN(G65-G64)+1)/2*(G65-G64))+(SIGN(H65-H64)*(SIGN(H65-H64)+1)/2*(H65-H64)))</f>
        <v>0</v>
      </c>
      <c r="Q65" s="4">
        <f>IF((P65-0.5)&gt;0,(P65-0.5)*200,0)</f>
        <v>0</v>
      </c>
    </row>
    <row r="66" spans="1:17" x14ac:dyDescent="0.2">
      <c r="B66" s="33">
        <v>2027</v>
      </c>
      <c r="C66" s="4"/>
      <c r="D66" s="4"/>
      <c r="E66" s="4"/>
      <c r="F66" s="4"/>
      <c r="G66" s="34"/>
      <c r="H66" s="34"/>
      <c r="I66" s="4">
        <f>SUM(C66:H66)</f>
        <v>0</v>
      </c>
      <c r="J66">
        <f>J65*(1+(0.018+((A$60-0.018)/(2041-B66))))</f>
        <v>9215.1044925412425</v>
      </c>
      <c r="K66" s="23">
        <f>(I66/J66)*10^6</f>
        <v>0</v>
      </c>
      <c r="L66">
        <f>(F66-F65)*160</f>
        <v>0</v>
      </c>
      <c r="M66">
        <f>IF((G66-G65)*0.1/0.5&gt;=0,(G66-G65)*0.1/0.5,0)</f>
        <v>0</v>
      </c>
      <c r="N66">
        <f>IF((H66-H65)*0.1/0.5&gt;=0,(H66-H65)*0.1/0.5,0)</f>
        <v>0</v>
      </c>
      <c r="O66">
        <f>(E66-E65)*160</f>
        <v>0</v>
      </c>
      <c r="P66">
        <f>((SIGN(C66-C65)*(SIGN(C66-C65)+1)/2*(C66-C65))+(SIGN(D66-D65)*(SIGN(D66-D65)+1)/2*(D66-D65))+(SIGN(E66-E65)*(SIGN(E66-E65)+1)/2*(E66-E65))+(SIGN(F66-F65)*(SIGN(F66-F65)+1)/2*(F66-F65))+(SIGN(G66-G65)*(SIGN(G66-G65)+1)/2*(G66-G65))+(SIGN(H66-H65)*(SIGN(H66-H65)+1)/2*(H66-H65)))</f>
        <v>0</v>
      </c>
      <c r="Q66" s="4">
        <f>IF((P66-0.5)&gt;0,(P66-0.5)*200,0)</f>
        <v>0</v>
      </c>
    </row>
    <row r="67" spans="1:17" x14ac:dyDescent="0.2">
      <c r="A67" s="18"/>
      <c r="B67" s="33">
        <v>2028</v>
      </c>
      <c r="C67" s="38"/>
      <c r="D67" s="38"/>
      <c r="E67" s="4"/>
      <c r="F67" s="34"/>
      <c r="G67" s="34"/>
      <c r="H67" s="34"/>
      <c r="I67" s="34">
        <f>SUM(C67:H67)</f>
        <v>0</v>
      </c>
      <c r="J67">
        <f>J66*(1+(0.018+((A$60-0.018)/(2041-B67))))</f>
        <v>9382.3940817904531</v>
      </c>
      <c r="K67" s="23">
        <f>(I67/J67)*10^6</f>
        <v>0</v>
      </c>
      <c r="L67">
        <f>(F67-F66)*160</f>
        <v>0</v>
      </c>
      <c r="M67">
        <f>IF((G67-G66)*0.1/0.5&gt;=0,(G67-G66)*0.1/0.5,0)</f>
        <v>0</v>
      </c>
      <c r="N67">
        <f>IF((H67-H66)*0.1/0.5&gt;=0,(H67-H66)*0.1/0.5,0)</f>
        <v>0</v>
      </c>
      <c r="O67">
        <f>(E67-E66)*160</f>
        <v>0</v>
      </c>
      <c r="P67">
        <f>((SIGN(C67-C66)*(SIGN(C67-C66)+1)/2*(C67-C66))+(SIGN(D67-D66)*(SIGN(D67-D66)+1)/2*(D67-D66))+(SIGN(E67-E66)*(SIGN(E67-E66)+1)/2*(E67-E66))+(SIGN(F67-F66)*(SIGN(F67-F66)+1)/2*(F67-F66))+(SIGN(G67-G66)*(SIGN(G67-G66)+1)/2*(G67-G66))+(SIGN(H67-H66)*(SIGN(H67-H66)+1)/2*(H67-H66)))</f>
        <v>0</v>
      </c>
      <c r="Q67" s="4">
        <f>IF((P67-0.5)&gt;0,(P67-0.5)*200,0)</f>
        <v>0</v>
      </c>
    </row>
    <row r="68" spans="1:17" x14ac:dyDescent="0.2">
      <c r="A68" s="18"/>
      <c r="B68" s="33">
        <v>2029</v>
      </c>
      <c r="C68" s="4"/>
      <c r="D68" s="4"/>
      <c r="E68" s="4"/>
      <c r="F68" s="4"/>
      <c r="G68" s="34"/>
      <c r="H68" s="34"/>
      <c r="I68" s="34">
        <f>SUM(C68:H68)</f>
        <v>0</v>
      </c>
      <c r="J68">
        <f>J67*(1+(0.018+((A$60-0.018)/(2041-B68))))</f>
        <v>9552.8409076096468</v>
      </c>
      <c r="K68" s="23">
        <f>(I68/J68)*10^6</f>
        <v>0</v>
      </c>
      <c r="L68">
        <f>(F68-F67)*160</f>
        <v>0</v>
      </c>
      <c r="M68">
        <f>IF((G68-G67)*0.1/0.5&gt;=0,(G68-G67)*0.1/0.5,0)</f>
        <v>0</v>
      </c>
      <c r="N68">
        <f>IF((H68-H67)*0.1/0.5&gt;=0,(H68-H67)*0.1/0.5,0)</f>
        <v>0</v>
      </c>
      <c r="O68">
        <f>(E68-E67)*160</f>
        <v>0</v>
      </c>
      <c r="P68">
        <f>((SIGN(C68-C67)*(SIGN(C68-C67)+1)/2*(C68-C67))+(SIGN(D68-D67)*(SIGN(D68-D67)+1)/2*(D68-D67))+(SIGN(E68-E67)*(SIGN(E68-E67)+1)/2*(E68-E67))+(SIGN(F68-F67)*(SIGN(F68-F67)+1)/2*(F68-F67))+(SIGN(G68-G67)*(SIGN(G68-G67)+1)/2*(G68-G67))+(SIGN(H68-H67)*(SIGN(H68-H67)+1)/2*(H68-H67)))</f>
        <v>0</v>
      </c>
      <c r="Q68" s="4">
        <f>IF((P68-0.5)&gt;0,(P68-0.5)*200,0)</f>
        <v>0</v>
      </c>
    </row>
    <row r="69" spans="1:17" x14ac:dyDescent="0.2">
      <c r="A69" s="18"/>
      <c r="B69" s="33">
        <v>2030</v>
      </c>
      <c r="C69" s="38"/>
      <c r="D69" s="38"/>
      <c r="E69" s="4"/>
      <c r="F69" s="34"/>
      <c r="G69" s="34"/>
      <c r="H69" s="34"/>
      <c r="I69" s="34">
        <f>SUM(C69:H69)</f>
        <v>0</v>
      </c>
      <c r="J69">
        <f>J68*(1+(0.018+((A$60-0.018)/(2041-B69))))</f>
        <v>9726.5289241116388</v>
      </c>
      <c r="K69" s="23">
        <f>(I69/J69)*10^6</f>
        <v>0</v>
      </c>
      <c r="L69">
        <f>(F69-F68)*160</f>
        <v>0</v>
      </c>
      <c r="M69">
        <f>IF((G69-G68)*0.1/0.5&gt;=0,(G69-G68)*0.1/0.5,0)</f>
        <v>0</v>
      </c>
      <c r="N69">
        <f>IF((H69-H68)*0.1/0.5&gt;=0,(H69-H68)*0.1/0.5,0)</f>
        <v>0</v>
      </c>
      <c r="O69">
        <f>(E69-E68)*160</f>
        <v>0</v>
      </c>
      <c r="P69">
        <f>((SIGN(C69-C68)*(SIGN(C69-C68)+1)/2*(C69-C68))+(SIGN(D69-D68)*(SIGN(D69-D68)+1)/2*(D69-D68))+(SIGN(E69-E68)*(SIGN(E69-E68)+1)/2*(E69-E68))+(SIGN(F69-F68)*(SIGN(F69-F68)+1)/2*(F69-F68))+(SIGN(G69-G68)*(SIGN(G69-G68)+1)/2*(G69-G68))+(SIGN(H69-H68)*(SIGN(H69-H68)+1)/2*(H69-H68)))</f>
        <v>0</v>
      </c>
      <c r="Q69" s="4">
        <f>IF((P69-0.5)&gt;0,(P69-0.5)*200,0)</f>
        <v>0</v>
      </c>
    </row>
    <row r="70" spans="1:17" x14ac:dyDescent="0.2">
      <c r="A70" s="18"/>
      <c r="B70" s="33">
        <v>2031</v>
      </c>
      <c r="C70" s="4"/>
      <c r="D70" s="4"/>
      <c r="E70" s="4"/>
      <c r="F70" s="4"/>
      <c r="G70" s="34"/>
      <c r="H70" s="34"/>
      <c r="I70" s="4">
        <f>SUM(C70:H70)</f>
        <v>0</v>
      </c>
      <c r="J70">
        <f>J69*(1+(0.018+((A$60-0.018)/(2041-B70))))</f>
        <v>9903.5517505304706</v>
      </c>
      <c r="K70" s="23">
        <f>(I70/J70)*10^6</f>
        <v>0</v>
      </c>
      <c r="L70">
        <f>(F70-F69)*160</f>
        <v>0</v>
      </c>
      <c r="M70">
        <f>IF((G70-G69)*0.1/0.5&gt;=0,(G70-G69)*0.1/0.5,0)</f>
        <v>0</v>
      </c>
      <c r="N70">
        <f>IF((H70-H69)*0.1/0.5&gt;=0,(H70-H69)*0.1/0.5,0)</f>
        <v>0</v>
      </c>
      <c r="O70">
        <f>(E70-E69)*160</f>
        <v>0</v>
      </c>
      <c r="P70">
        <f>((SIGN(C70-C69)*(SIGN(C70-C69)+1)/2*(C70-C69))+(SIGN(D70-D69)*(SIGN(D70-D69)+1)/2*(D70-D69))+(SIGN(E70-E69)*(SIGN(E70-E69)+1)/2*(E70-E69))+(SIGN(F70-F69)*(SIGN(F70-F69)+1)/2*(F70-F69))+(SIGN(G70-G69)*(SIGN(G70-G69)+1)/2*(G70-G69))+(SIGN(H70-H69)*(SIGN(H70-H69)+1)/2*(H70-H69)))</f>
        <v>0</v>
      </c>
      <c r="Q70" s="4">
        <f>IF((P70-0.5)&gt;0,(P70-0.5)*200,0)</f>
        <v>0</v>
      </c>
    </row>
    <row r="71" spans="1:17" x14ac:dyDescent="0.2">
      <c r="A71" s="18"/>
      <c r="B71" s="33">
        <v>2032</v>
      </c>
      <c r="C71" s="38"/>
      <c r="D71" s="38"/>
      <c r="E71" s="4"/>
      <c r="F71" s="34"/>
      <c r="G71" s="34"/>
      <c r="H71" s="34"/>
      <c r="I71" s="34">
        <f>SUM(C71:H71)</f>
        <v>0</v>
      </c>
      <c r="J71">
        <f>J70*(1+(0.018+((A$60-0.018)/(2041-B71))))</f>
        <v>10084.016471317915</v>
      </c>
      <c r="K71" s="23">
        <f>(I71/J71)*10^6</f>
        <v>0</v>
      </c>
      <c r="L71">
        <f>(F71-F70)*160</f>
        <v>0</v>
      </c>
      <c r="M71">
        <f>IF((G71-G70)*0.1/0.5&gt;=0,(G71-G70)*0.1/0.5,0)</f>
        <v>0</v>
      </c>
      <c r="N71">
        <f>IF((H71-H70)*0.1/0.5&gt;=0,(H71-H70)*0.1/0.5,0)</f>
        <v>0</v>
      </c>
      <c r="O71">
        <f>(E71-E70)*160</f>
        <v>0</v>
      </c>
      <c r="P71">
        <f>((SIGN(C71-C70)*(SIGN(C71-C70)+1)/2*(C71-C70))+(SIGN(D71-D70)*(SIGN(D71-D70)+1)/2*(D71-D70))+(SIGN(E71-E70)*(SIGN(E71-E70)+1)/2*(E71-E70))+(SIGN(F71-F70)*(SIGN(F71-F70)+1)/2*(F71-F70))+(SIGN(G71-G70)*(SIGN(G71-G70)+1)/2*(G71-G70))+(SIGN(H71-H70)*(SIGN(H71-H70)+1)/2*(H71-H70)))</f>
        <v>0</v>
      </c>
      <c r="Q71" s="4">
        <f>IF((P71-0.5)&gt;0,(P71-0.5)*200,0)</f>
        <v>0</v>
      </c>
    </row>
    <row r="72" spans="1:17" x14ac:dyDescent="0.2">
      <c r="A72" s="18"/>
      <c r="B72" s="33">
        <v>2033</v>
      </c>
      <c r="C72" s="4"/>
      <c r="D72" s="4"/>
      <c r="E72" s="4"/>
      <c r="F72" s="4"/>
      <c r="G72" s="34"/>
      <c r="H72" s="34"/>
      <c r="I72" s="34">
        <f>SUM(C72:H72)</f>
        <v>0</v>
      </c>
      <c r="J72">
        <f>J71*(1+(0.018+((A$60-0.018)/(2041-B72))))</f>
        <v>10268.049771919468</v>
      </c>
      <c r="K72" s="23">
        <f>(I72/J72)*10^6</f>
        <v>0</v>
      </c>
      <c r="L72">
        <f>(F72-F71)*160</f>
        <v>0</v>
      </c>
      <c r="M72">
        <f>IF((G72-G71)*0.1/0.5&gt;=0,(G72-G71)*0.1/0.5,0)</f>
        <v>0</v>
      </c>
      <c r="N72">
        <f>IF((H72-H71)*0.1/0.5&gt;=0,(H72-H71)*0.1/0.5,0)</f>
        <v>0</v>
      </c>
      <c r="O72">
        <f>(E72-E71)*160</f>
        <v>0</v>
      </c>
      <c r="P72">
        <f>((SIGN(C72-C71)*(SIGN(C72-C71)+1)/2*(C72-C71))+(SIGN(D72-D71)*(SIGN(D72-D71)+1)/2*(D72-D71))+(SIGN(E72-E71)*(SIGN(E72-E71)+1)/2*(E72-E71))+(SIGN(F72-F71)*(SIGN(F72-F71)+1)/2*(F72-F71))+(SIGN(G72-G71)*(SIGN(G72-G71)+1)/2*(G72-G71))+(SIGN(H72-H71)*(SIGN(H72-H71)+1)/2*(H72-H71)))</f>
        <v>0</v>
      </c>
      <c r="Q72" s="4">
        <f>IF((P72-0.5)&gt;0,(P72-0.5)*200,0)</f>
        <v>0</v>
      </c>
    </row>
    <row r="73" spans="1:17" x14ac:dyDescent="0.2">
      <c r="A73" s="18"/>
      <c r="B73" s="33">
        <v>2034</v>
      </c>
      <c r="C73" s="38"/>
      <c r="D73" s="38"/>
      <c r="E73" s="4"/>
      <c r="F73" s="34"/>
      <c r="G73" s="34"/>
      <c r="H73" s="34"/>
      <c r="I73" s="34">
        <f>SUM(C73:H73)</f>
        <v>0</v>
      </c>
      <c r="J73">
        <f>J72*(1+(0.018+((A$60-0.018)/(2041-B73))))</f>
        <v>10455.808396320281</v>
      </c>
      <c r="K73" s="23">
        <f>(I73/J73)*10^6</f>
        <v>0</v>
      </c>
      <c r="L73">
        <f>(F73-F72)*160</f>
        <v>0</v>
      </c>
      <c r="M73">
        <f>IF((G73-G72)*0.1/0.5&gt;=0,(G73-G72)*0.1/0.5,0)</f>
        <v>0</v>
      </c>
      <c r="N73">
        <f>IF((H73-H72)*0.1/0.5&gt;=0,(H73-H72)*0.1/0.5,0)</f>
        <v>0</v>
      </c>
      <c r="O73">
        <f>(E73-E72)*160</f>
        <v>0</v>
      </c>
      <c r="P73">
        <f>((SIGN(C73-C72)*(SIGN(C73-C72)+1)/2*(C73-C72))+(SIGN(D73-D72)*(SIGN(D73-D72)+1)/2*(D73-D72))+(SIGN(E73-E72)*(SIGN(E73-E72)+1)/2*(E73-E72))+(SIGN(F73-F72)*(SIGN(F73-F72)+1)/2*(F73-F72))+(SIGN(G73-G72)*(SIGN(G73-G72)+1)/2*(G73-G72))+(SIGN(H73-H72)*(SIGN(H73-H72)+1)/2*(H73-H72)))</f>
        <v>0</v>
      </c>
      <c r="Q73" s="4">
        <f>IF((P73-0.5)&gt;0,(P73-0.5)*200,0)</f>
        <v>0</v>
      </c>
    </row>
    <row r="74" spans="1:17" x14ac:dyDescent="0.2">
      <c r="A74" s="18"/>
      <c r="B74" s="33">
        <v>2035</v>
      </c>
      <c r="C74" s="4"/>
      <c r="D74" s="4"/>
      <c r="E74" s="4"/>
      <c r="F74" s="4"/>
      <c r="G74" s="34"/>
      <c r="H74" s="34"/>
      <c r="I74" s="4">
        <f>SUM(C74:H74)</f>
        <v>0</v>
      </c>
      <c r="J74">
        <f>J73*(1+(0.018+((A$60-0.018)/(2041-B74))))</f>
        <v>10647.498216919486</v>
      </c>
      <c r="K74" s="23">
        <f>(I74/J74)*10^6</f>
        <v>0</v>
      </c>
      <c r="L74">
        <f>(F74-F73)*160</f>
        <v>0</v>
      </c>
      <c r="M74">
        <f>IF((G74-G73)*0.1/0.5&gt;=0,(G74-G73)*0.1/0.5,0)</f>
        <v>0</v>
      </c>
      <c r="N74">
        <f>IF((H74-H73)*0.1/0.5&gt;=0,(H74-H73)*0.1/0.5,0)</f>
        <v>0</v>
      </c>
      <c r="O74">
        <f>(E74-E73)*160</f>
        <v>0</v>
      </c>
      <c r="P74">
        <f>((SIGN(C74-C73)*(SIGN(C74-C73)+1)/2*(C74-C73))+(SIGN(D74-D73)*(SIGN(D74-D73)+1)/2*(D74-D73))+(SIGN(E74-E73)*(SIGN(E74-E73)+1)/2*(E74-E73))+(SIGN(F74-F73)*(SIGN(F74-F73)+1)/2*(F74-F73))+(SIGN(G74-G73)*(SIGN(G74-G73)+1)/2*(G74-G73))+(SIGN(H74-H73)*(SIGN(H74-H73)+1)/2*(H74-H73)))</f>
        <v>0</v>
      </c>
      <c r="Q74" s="4">
        <f>IF((P74-0.5)&gt;0,(P74-0.5)*200,0)</f>
        <v>0</v>
      </c>
    </row>
    <row r="75" spans="1:17" x14ac:dyDescent="0.2">
      <c r="A75" s="18"/>
      <c r="B75" s="33">
        <v>2036</v>
      </c>
      <c r="C75" s="38"/>
      <c r="D75" s="38"/>
      <c r="E75" s="4"/>
      <c r="F75" s="34"/>
      <c r="G75" s="34"/>
      <c r="H75" s="34"/>
      <c r="I75" s="34">
        <f>SUM(C75:H75)</f>
        <v>0</v>
      </c>
      <c r="J75">
        <f>J74*(1+(0.018+((A$60-0.018)/(2041-B75))))</f>
        <v>10843.412184110804</v>
      </c>
      <c r="K75" s="23">
        <f>(I75/J75)*10^6</f>
        <v>0</v>
      </c>
      <c r="L75">
        <f>(F75-F74)*160</f>
        <v>0</v>
      </c>
      <c r="M75">
        <f>IF((G75-G74)*0.1/0.5&gt;=0,(G75-G74)*0.1/0.5,0)</f>
        <v>0</v>
      </c>
      <c r="N75">
        <f>IF((H75-H74)*0.1/0.5&gt;=0,(H75-H74)*0.1/0.5,0)</f>
        <v>0</v>
      </c>
      <c r="O75">
        <f>(E75-E74)*160</f>
        <v>0</v>
      </c>
      <c r="P75">
        <f>((SIGN(C75-C74)*(SIGN(C75-C74)+1)/2*(C75-C74))+(SIGN(D75-D74)*(SIGN(D75-D74)+1)/2*(D75-D74))+(SIGN(E75-E74)*(SIGN(E75-E74)+1)/2*(E75-E74))+(SIGN(F75-F74)*(SIGN(F75-F74)+1)/2*(F75-F74))+(SIGN(G75-G74)*(SIGN(G75-G74)+1)/2*(G75-G74))+(SIGN(H75-H74)*(SIGN(H75-H74)+1)/2*(H75-H74)))</f>
        <v>0</v>
      </c>
      <c r="Q75" s="4">
        <f>IF((P75-0.5)&gt;0,(P75-0.5)*200,0)</f>
        <v>0</v>
      </c>
    </row>
    <row r="76" spans="1:17" x14ac:dyDescent="0.2">
      <c r="A76" s="18"/>
      <c r="B76" s="33">
        <v>2037</v>
      </c>
      <c r="C76" s="4"/>
      <c r="D76" s="4"/>
      <c r="E76" s="4"/>
      <c r="F76" s="4"/>
      <c r="G76" s="34"/>
      <c r="H76" s="34"/>
      <c r="I76" s="34">
        <f>SUM(C76:H76)</f>
        <v>0</v>
      </c>
      <c r="J76">
        <f>J75*(1+(0.018+((A$60-0.018)/(2041-B76))))</f>
        <v>11044.015309516853</v>
      </c>
      <c r="K76" s="23">
        <f>(I76/J76)*10^6</f>
        <v>0</v>
      </c>
      <c r="L76">
        <f>(F76-F75)*160</f>
        <v>0</v>
      </c>
      <c r="M76">
        <f>IF((G76-G75)*0.1/0.5&gt;=0,(G76-G75)*0.1/0.5,0)</f>
        <v>0</v>
      </c>
      <c r="N76">
        <f>IF((H76-H75)*0.1/0.5&gt;=0,(H76-H75)*0.1/0.5,0)</f>
        <v>0</v>
      </c>
      <c r="O76">
        <f>(E76-E75)*160</f>
        <v>0</v>
      </c>
      <c r="P76">
        <f>((SIGN(C76-C75)*(SIGN(C76-C75)+1)/2*(C76-C75))+(SIGN(D76-D75)*(SIGN(D76-D75)+1)/2*(D76-D75))+(SIGN(E76-E75)*(SIGN(E76-E75)+1)/2*(E76-E75))+(SIGN(F76-F75)*(SIGN(F76-F75)+1)/2*(F76-F75))+(SIGN(G76-G75)*(SIGN(G76-G75)+1)/2*(G76-G75))+(SIGN(H76-H75)*(SIGN(H76-H75)+1)/2*(H76-H75)))</f>
        <v>0</v>
      </c>
      <c r="Q76" s="4">
        <f>IF((P76-0.5)&gt;0,(P76-0.5)*200,0)</f>
        <v>0</v>
      </c>
    </row>
    <row r="77" spans="1:17" x14ac:dyDescent="0.2">
      <c r="A77" s="18"/>
      <c r="B77" s="33">
        <v>2038</v>
      </c>
      <c r="C77" s="38"/>
      <c r="D77" s="38"/>
      <c r="E77" s="4"/>
      <c r="F77" s="34"/>
      <c r="G77" s="34"/>
      <c r="H77" s="34"/>
      <c r="I77" s="34">
        <f>SUM(C77:H77)</f>
        <v>0</v>
      </c>
      <c r="J77">
        <f>J76*(1+(0.018+((A$60-0.018)/(2041-B77))))</f>
        <v>11250.170261961168</v>
      </c>
      <c r="K77" s="23">
        <f>(I77/J77)*10^6</f>
        <v>0</v>
      </c>
      <c r="L77">
        <f>(F77-F76)*160</f>
        <v>0</v>
      </c>
      <c r="M77">
        <f>IF((G77-G76)*0.1/0.5&gt;=0,(G77-G76)*0.1/0.5,0)</f>
        <v>0</v>
      </c>
      <c r="N77">
        <f>IF((H77-H76)*0.1/0.5&gt;=0,(H77-H76)*0.1/0.5,0)</f>
        <v>0</v>
      </c>
      <c r="O77">
        <f>(E77-E76)*160</f>
        <v>0</v>
      </c>
      <c r="P77">
        <f>((SIGN(C77-C76)*(SIGN(C77-C76)+1)/2*(C77-C76))+(SIGN(D77-D76)*(SIGN(D77-D76)+1)/2*(D77-D76))+(SIGN(E77-E76)*(SIGN(E77-E76)+1)/2*(E77-E76))+(SIGN(F77-F76)*(SIGN(F77-F76)+1)/2*(F77-F76))+(SIGN(G77-G76)*(SIGN(G77-G76)+1)/2*(G77-G76))+(SIGN(H77-H76)*(SIGN(H77-H76)+1)/2*(H77-H76)))</f>
        <v>0</v>
      </c>
      <c r="Q77" s="4">
        <f>IF((P77-0.5)&gt;0,(P77-0.5)*200,0)</f>
        <v>0</v>
      </c>
    </row>
    <row r="78" spans="1:17" x14ac:dyDescent="0.2">
      <c r="A78" s="18"/>
      <c r="B78" s="33">
        <v>2039</v>
      </c>
      <c r="C78" s="4"/>
      <c r="D78" s="4"/>
      <c r="E78" s="4"/>
      <c r="F78" s="4"/>
      <c r="G78" s="34"/>
      <c r="H78" s="34"/>
      <c r="I78" s="4">
        <f>SUM(C78:H78)</f>
        <v>0</v>
      </c>
      <c r="J78">
        <f>J77*(1+(0.018+((A$60-0.018)/(2041-B78))))</f>
        <v>11463.923496938429</v>
      </c>
      <c r="K78" s="23">
        <f>(I78/J78)*10^6</f>
        <v>0</v>
      </c>
      <c r="L78">
        <f>(F78-F77)*160</f>
        <v>0</v>
      </c>
      <c r="M78">
        <f>IF((G78-G77)*0.1/0.5&gt;=0,(G78-G77)*0.1/0.5,0)</f>
        <v>0</v>
      </c>
      <c r="N78">
        <f>IF((H78-H77)*0.1/0.5&gt;=0,(H78-H77)*0.1/0.5,0)</f>
        <v>0</v>
      </c>
      <c r="O78">
        <f>(E78-E77)*160</f>
        <v>0</v>
      </c>
      <c r="P78">
        <f>((SIGN(C78-C77)*(SIGN(C78-C77)+1)/2*(C78-C77))+(SIGN(D78-D77)*(SIGN(D78-D77)+1)/2*(D78-D77))+(SIGN(E78-E77)*(SIGN(E78-E77)+1)/2*(E78-E77))+(SIGN(F78-F77)*(SIGN(F78-F77)+1)/2*(F78-F77))+(SIGN(G78-G77)*(SIGN(G78-G77)+1)/2*(G78-G77))+(SIGN(H78-H77)*(SIGN(H78-H77)+1)/2*(H78-H77)))</f>
        <v>0</v>
      </c>
      <c r="Q78" s="4">
        <f>IF((P78-0.5)&gt;0,(P78-0.5)*200,0)</f>
        <v>0</v>
      </c>
    </row>
    <row r="79" spans="1:17" x14ac:dyDescent="0.2">
      <c r="A79" s="18"/>
      <c r="B79" s="33">
        <v>2040</v>
      </c>
      <c r="C79" s="38"/>
      <c r="D79" s="38"/>
      <c r="E79" s="4"/>
      <c r="F79" s="34"/>
      <c r="G79" s="34"/>
      <c r="H79" s="34"/>
      <c r="I79" s="4">
        <f>SUM(C79:H79)</f>
        <v>0</v>
      </c>
      <c r="J79">
        <f>J78*(1+(0.018+((A$60-0.018)/(2041-B79))))</f>
        <v>11693.201966877197</v>
      </c>
      <c r="K79" s="23">
        <f>(I79/J79)*10^6</f>
        <v>0</v>
      </c>
      <c r="L79">
        <f>(F79-F78)*160</f>
        <v>0</v>
      </c>
      <c r="M79">
        <f>IF((G79-G78)*0.1/0.5&gt;=0,(G79-G78)*0.1/0.5,0)</f>
        <v>0</v>
      </c>
      <c r="N79">
        <f>IF((H79-H78)*0.1/0.5&gt;=0,(H79-H78)*0.1/0.5,0)</f>
        <v>0</v>
      </c>
      <c r="O79">
        <f>(E79-E78)*160</f>
        <v>0</v>
      </c>
      <c r="P79">
        <f>((SIGN(C79-C78)*(SIGN(C79-C78)+1)/2*(C79-C78))+(SIGN(D79-D78)*(SIGN(D79-D78)+1)/2*(D79-D78))+(SIGN(E79-E78)*(SIGN(E79-E78)+1)/2*(E79-E78))+(SIGN(F79-F78)*(SIGN(F79-F78)+1)/2*(F79-F78))+(SIGN(G79-G78)*(SIGN(G79-G78)+1)/2*(G79-G78))+(SIGN(H79-H78)*(SIGN(H79-H78)+1)/2*(H79-H78)))</f>
        <v>0</v>
      </c>
      <c r="Q79" s="4">
        <f>IF((P79-0.5)&gt;0,(P79-0.5)*200,0)</f>
        <v>0</v>
      </c>
    </row>
    <row r="80" spans="1:17" x14ac:dyDescent="0.2">
      <c r="A80" s="18"/>
      <c r="B80" s="33">
        <v>2041</v>
      </c>
      <c r="C80" s="4"/>
      <c r="D80" s="4"/>
      <c r="E80" s="4"/>
      <c r="F80" s="4"/>
      <c r="G80" s="34"/>
      <c r="H80" s="34"/>
      <c r="I80" s="4">
        <f>SUM(C80:H80)</f>
        <v>0</v>
      </c>
      <c r="J80">
        <f>J79*(1+$A$60)</f>
        <v>11927.066006214742</v>
      </c>
      <c r="K80" s="23">
        <f>(I80/J80)*10^6</f>
        <v>0</v>
      </c>
      <c r="L80">
        <f>(F80-F79)*160</f>
        <v>0</v>
      </c>
      <c r="M80">
        <f>IF((G80-G79)*0.1/0.5&gt;=0,(G80-G79)*0.1/0.5,0)</f>
        <v>0</v>
      </c>
      <c r="N80">
        <f>IF((H80-H79)*0.1/0.5&gt;=0,(H80-H79)*0.1/0.5,0)</f>
        <v>0</v>
      </c>
      <c r="O80">
        <f>(E80-E79)*160</f>
        <v>0</v>
      </c>
      <c r="P80">
        <f>((SIGN(C80-C79)*(SIGN(C80-C79)+1)/2*(C80-C79))+(SIGN(D80-D79)*(SIGN(D80-D79)+1)/2*(D80-D79))+(SIGN(E80-E79)*(SIGN(E80-E79)+1)/2*(E80-E79))+(SIGN(F80-F79)*(SIGN(F80-F79)+1)/2*(F80-F79))+(SIGN(G80-G79)*(SIGN(G80-G79)+1)/2*(G80-G79))+(SIGN(H80-H79)*(SIGN(H80-H79)+1)/2*(H80-H79)))</f>
        <v>0</v>
      </c>
      <c r="Q80" s="4">
        <f>IF((P80-0.5)&gt;0,(P80-0.5)*200,0)</f>
        <v>0</v>
      </c>
    </row>
    <row r="81" spans="1:17" x14ac:dyDescent="0.2">
      <c r="A81" s="18"/>
      <c r="B81" s="33">
        <v>2042</v>
      </c>
      <c r="C81" s="38"/>
      <c r="D81" s="38"/>
      <c r="E81" s="4"/>
      <c r="F81" s="34"/>
      <c r="G81" s="34"/>
      <c r="H81" s="34"/>
      <c r="I81" s="4">
        <f>SUM(C81:H81)</f>
        <v>0</v>
      </c>
      <c r="J81">
        <f>J80*(1+$A$60)</f>
        <v>12165.607326339037</v>
      </c>
      <c r="K81" s="23">
        <f>(I81/J81)*10^6</f>
        <v>0</v>
      </c>
      <c r="L81">
        <f>(F81-F80)*160</f>
        <v>0</v>
      </c>
      <c r="M81">
        <f>IF((G81-G80)*0.1/0.5&gt;=0,(G81-G80)*0.1/0.5,0)</f>
        <v>0</v>
      </c>
      <c r="N81">
        <f>IF((H81-H80)*0.1/0.5&gt;=0,(H81-H80)*0.1/0.5,0)</f>
        <v>0</v>
      </c>
      <c r="O81">
        <f>(E81-E80)*160</f>
        <v>0</v>
      </c>
      <c r="P81">
        <f>((SIGN(C81-C80)*(SIGN(C81-C80)+1)/2*(C81-C80))+(SIGN(D81-D80)*(SIGN(D81-D80)+1)/2*(D81-D80))+(SIGN(E81-E80)*(SIGN(E81-E80)+1)/2*(E81-E80))+(SIGN(F81-F80)*(SIGN(F81-F80)+1)/2*(F81-F80))+(SIGN(G81-G80)*(SIGN(G81-G80)+1)/2*(G81-G80))+(SIGN(H81-H80)*(SIGN(H81-H80)+1)/2*(H81-H80)))</f>
        <v>0</v>
      </c>
      <c r="Q81" s="4">
        <f>IF((P81-0.5)&gt;0,(P81-0.5)*200,0)</f>
        <v>0</v>
      </c>
    </row>
    <row r="82" spans="1:17" x14ac:dyDescent="0.2">
      <c r="A82" s="18"/>
      <c r="B82" s="33">
        <v>2043</v>
      </c>
      <c r="C82" s="4"/>
      <c r="D82" s="4"/>
      <c r="E82" s="4"/>
      <c r="F82" s="4"/>
      <c r="G82" s="34"/>
      <c r="H82" s="34"/>
      <c r="I82" s="4">
        <f>SUM(C82:H82)</f>
        <v>0</v>
      </c>
      <c r="J82">
        <f>J81*(1+$A$60)</f>
        <v>12408.919472865819</v>
      </c>
      <c r="K82" s="23">
        <f>(I82/J82)*10^6</f>
        <v>0</v>
      </c>
      <c r="L82">
        <f>(F82-F81)*160</f>
        <v>0</v>
      </c>
      <c r="M82">
        <f>IF((G82-G81)*0.1/0.5&gt;=0,(G82-G81)*0.1/0.5,0)</f>
        <v>0</v>
      </c>
      <c r="N82">
        <f>IF((H82-H81)*0.1/0.5&gt;=0,(H82-H81)*0.1/0.5,0)</f>
        <v>0</v>
      </c>
      <c r="O82">
        <f>(E82-E81)*160</f>
        <v>0</v>
      </c>
      <c r="P82">
        <f>((SIGN(C82-C81)*(SIGN(C82-C81)+1)/2*(C82-C81))+(SIGN(D82-D81)*(SIGN(D82-D81)+1)/2*(D82-D81))+(SIGN(E82-E81)*(SIGN(E82-E81)+1)/2*(E82-E81))+(SIGN(F82-F81)*(SIGN(F82-F81)+1)/2*(F82-F81))+(SIGN(G82-G81)*(SIGN(G82-G81)+1)/2*(G82-G81))+(SIGN(H82-H81)*(SIGN(H82-H81)+1)/2*(H82-H81)))</f>
        <v>0</v>
      </c>
      <c r="Q82" s="4">
        <f>IF((P82-0.5)&gt;0,(P82-0.5)*200,0)</f>
        <v>0</v>
      </c>
    </row>
    <row r="83" spans="1:17" x14ac:dyDescent="0.2">
      <c r="A83" s="18"/>
      <c r="B83" s="33">
        <v>2044</v>
      </c>
      <c r="C83" s="38"/>
      <c r="D83" s="38"/>
      <c r="E83" s="4"/>
      <c r="F83" s="34"/>
      <c r="G83" s="34"/>
      <c r="H83" s="34"/>
      <c r="I83" s="4">
        <f>SUM(C83:H83)</f>
        <v>0</v>
      </c>
      <c r="J83">
        <f>J82*(1+$A$60)</f>
        <v>12657.097862323135</v>
      </c>
      <c r="K83" s="23">
        <f>(I83/J83)*10^6</f>
        <v>0</v>
      </c>
      <c r="L83">
        <f>(F83-F82)*160</f>
        <v>0</v>
      </c>
      <c r="M83">
        <f>IF((G83-G82)*0.1/0.5&gt;=0,(G83-G82)*0.1/0.5,0)</f>
        <v>0</v>
      </c>
      <c r="N83">
        <f>IF((H83-H82)*0.1/0.5&gt;=0,(H83-H82)*0.1/0.5,0)</f>
        <v>0</v>
      </c>
      <c r="O83">
        <f>(E83-E82)*160</f>
        <v>0</v>
      </c>
      <c r="P83">
        <f>((SIGN(C83-C82)*(SIGN(C83-C82)+1)/2*(C83-C82))+(SIGN(D83-D82)*(SIGN(D83-D82)+1)/2*(D83-D82))+(SIGN(E83-E82)*(SIGN(E83-E82)+1)/2*(E83-E82))+(SIGN(F83-F82)*(SIGN(F83-F82)+1)/2*(F83-F82))+(SIGN(G83-G82)*(SIGN(G83-G82)+1)/2*(G83-G82))+(SIGN(H83-H82)*(SIGN(H83-H82)+1)/2*(H83-H82)))</f>
        <v>0</v>
      </c>
      <c r="Q83" s="4">
        <f>IF((P83-0.5)&gt;0,(P83-0.5)*200,0)</f>
        <v>0</v>
      </c>
    </row>
    <row r="84" spans="1:17" x14ac:dyDescent="0.2">
      <c r="A84" s="18"/>
      <c r="B84" s="33">
        <v>2045</v>
      </c>
      <c r="I84" s="4">
        <f t="shared" ref="I84:I95" si="0">SUM(C84:H84)</f>
        <v>0</v>
      </c>
      <c r="J84">
        <f t="shared" ref="J84:J95" si="1">J83*(1+$A$60)</f>
        <v>12910.239819569599</v>
      </c>
      <c r="K84" s="23">
        <f t="shared" ref="K84:K95" si="2">(I84/J84)*10^6</f>
        <v>0</v>
      </c>
      <c r="L84">
        <f>(F84-F83)*160</f>
        <v>0</v>
      </c>
      <c r="M84">
        <f>IF((G84-G83)*0.1/0.5&gt;=0,(G84-G83)*0.1/0.5,0)</f>
        <v>0</v>
      </c>
      <c r="N84">
        <f>IF((H84-H83)*0.1/0.5&gt;=0,(H84-H83)*0.1/0.5,0)</f>
        <v>0</v>
      </c>
      <c r="O84">
        <f>(E84-E83)*160</f>
        <v>0</v>
      </c>
      <c r="P84">
        <f>((SIGN(C84-C83)*(SIGN(C84-C83)+1)/2*(C84-C83))+(SIGN(D84-D83)*(SIGN(D84-D83)+1)/2*(D84-D83))+(SIGN(E84-E83)*(SIGN(E84-E83)+1)/2*(E84-E83))+(SIGN(F84-F83)*(SIGN(F84-F83)+1)/2*(F84-F83))+(SIGN(G84-G83)*(SIGN(G84-G83)+1)/2*(G84-G83))+(SIGN(H84-H83)*(SIGN(H84-H83)+1)/2*(H84-H83)))</f>
        <v>0</v>
      </c>
      <c r="Q84" s="4">
        <f>IF((P84-0.5)&gt;0,(P84-0.5)*200,0)</f>
        <v>0</v>
      </c>
    </row>
    <row r="85" spans="1:17" x14ac:dyDescent="0.2">
      <c r="A85" s="18"/>
      <c r="B85" s="33">
        <v>2046</v>
      </c>
      <c r="I85" s="4">
        <f t="shared" si="0"/>
        <v>0</v>
      </c>
      <c r="J85">
        <f t="shared" si="1"/>
        <v>13168.444615960991</v>
      </c>
      <c r="K85" s="23">
        <f t="shared" si="2"/>
        <v>0</v>
      </c>
      <c r="L85">
        <f>(F85-F84)*160</f>
        <v>0</v>
      </c>
      <c r="M85">
        <f>IF((G85-G84)*0.1/0.5&gt;=0,(G85-G84)*0.1/0.5,0)</f>
        <v>0</v>
      </c>
      <c r="N85">
        <f>IF((H85-H84)*0.1/0.5&gt;=0,(H85-H84)*0.1/0.5,0)</f>
        <v>0</v>
      </c>
      <c r="O85">
        <f>(E85-E84)*160</f>
        <v>0</v>
      </c>
      <c r="P85">
        <f>((SIGN(C85-C84)*(SIGN(C85-C84)+1)/2*(C85-C84))+(SIGN(D85-D84)*(SIGN(D85-D84)+1)/2*(D85-D84))+(SIGN(E85-E84)*(SIGN(E85-E84)+1)/2*(E85-E84))+(SIGN(F85-F84)*(SIGN(F85-F84)+1)/2*(F85-F84))+(SIGN(G85-G84)*(SIGN(G85-G84)+1)/2*(G85-G84))+(SIGN(H85-H84)*(SIGN(H85-H84)+1)/2*(H85-H84)))</f>
        <v>0</v>
      </c>
      <c r="Q85" s="4">
        <f>IF((P85-0.5)&gt;0,(P85-0.5)*200,0)</f>
        <v>0</v>
      </c>
    </row>
    <row r="86" spans="1:17" x14ac:dyDescent="0.2">
      <c r="B86" s="33">
        <v>2047</v>
      </c>
      <c r="I86" s="4">
        <f t="shared" si="0"/>
        <v>0</v>
      </c>
      <c r="J86">
        <f t="shared" si="1"/>
        <v>13431.813508280211</v>
      </c>
      <c r="K86" s="23">
        <f t="shared" si="2"/>
        <v>0</v>
      </c>
      <c r="L86">
        <f>(F86-F85)*160</f>
        <v>0</v>
      </c>
      <c r="M86">
        <f>IF((G86-G85)*0.1/0.5&gt;=0,(G86-G85)*0.1/0.5,0)</f>
        <v>0</v>
      </c>
      <c r="N86">
        <f>IF((H86-H85)*0.1/0.5&gt;=0,(H86-H85)*0.1/0.5,0)</f>
        <v>0</v>
      </c>
      <c r="O86">
        <f>(E86-E85)*160</f>
        <v>0</v>
      </c>
      <c r="P86">
        <f>((SIGN(C86-C85)*(SIGN(C86-C85)+1)/2*(C86-C85))+(SIGN(D86-D85)*(SIGN(D86-D85)+1)/2*(D86-D85))+(SIGN(E86-E85)*(SIGN(E86-E85)+1)/2*(E86-E85))+(SIGN(F86-F85)*(SIGN(F86-F85)+1)/2*(F86-F85))+(SIGN(G86-G85)*(SIGN(G86-G85)+1)/2*(G86-G85))+(SIGN(H86-H85)*(SIGN(H86-H85)+1)/2*(H86-H85)))</f>
        <v>0</v>
      </c>
      <c r="Q86" s="4">
        <f>IF((P86-0.5)&gt;0,(P86-0.5)*200,0)</f>
        <v>0</v>
      </c>
    </row>
    <row r="87" spans="1:17" x14ac:dyDescent="0.2">
      <c r="B87" s="33">
        <v>2048</v>
      </c>
      <c r="I87" s="4">
        <f t="shared" si="0"/>
        <v>0</v>
      </c>
      <c r="J87">
        <f t="shared" si="1"/>
        <v>13700.449778445816</v>
      </c>
      <c r="K87" s="23">
        <f t="shared" si="2"/>
        <v>0</v>
      </c>
      <c r="L87">
        <f>(F87-F86)*160</f>
        <v>0</v>
      </c>
      <c r="M87">
        <f>IF((G87-G86)*0.1/0.5&gt;=0,(G87-G86)*0.1/0.5,0)</f>
        <v>0</v>
      </c>
      <c r="N87">
        <f>IF((H87-H86)*0.1/0.5&gt;=0,(H87-H86)*0.1/0.5,0)</f>
        <v>0</v>
      </c>
      <c r="O87">
        <f>(E87-E86)*160</f>
        <v>0</v>
      </c>
      <c r="P87">
        <f>((SIGN(C87-C86)*(SIGN(C87-C86)+1)/2*(C87-C86))+(SIGN(D87-D86)*(SIGN(D87-D86)+1)/2*(D87-D86))+(SIGN(E87-E86)*(SIGN(E87-E86)+1)/2*(E87-E86))+(SIGN(F87-F86)*(SIGN(F87-F86)+1)/2*(F87-F86))+(SIGN(G87-G86)*(SIGN(G87-G86)+1)/2*(G87-G86))+(SIGN(H87-H86)*(SIGN(H87-H86)+1)/2*(H87-H86)))</f>
        <v>0</v>
      </c>
      <c r="Q87" s="4">
        <f>IF((P87-0.5)&gt;0,(P87-0.5)*200,0)</f>
        <v>0</v>
      </c>
    </row>
    <row r="88" spans="1:17" x14ac:dyDescent="0.2">
      <c r="B88" s="33">
        <v>2049</v>
      </c>
      <c r="I88" s="4">
        <f t="shared" si="0"/>
        <v>0</v>
      </c>
      <c r="J88">
        <f t="shared" si="1"/>
        <v>13974.458774014733</v>
      </c>
      <c r="K88" s="23">
        <f t="shared" si="2"/>
        <v>0</v>
      </c>
      <c r="L88">
        <f>(F88-F87)*160</f>
        <v>0</v>
      </c>
      <c r="M88">
        <f>IF((G88-G87)*0.1/0.5&gt;=0,(G88-G87)*0.1/0.5,0)</f>
        <v>0</v>
      </c>
      <c r="N88">
        <f>IF((H88-H87)*0.1/0.5&gt;=0,(H88-H87)*0.1/0.5,0)</f>
        <v>0</v>
      </c>
      <c r="O88">
        <f>(E88-E87)*160</f>
        <v>0</v>
      </c>
      <c r="P88">
        <f>((SIGN(C88-C87)*(SIGN(C88-C87)+1)/2*(C88-C87))+(SIGN(D88-D87)*(SIGN(D88-D87)+1)/2*(D88-D87))+(SIGN(E88-E87)*(SIGN(E88-E87)+1)/2*(E88-E87))+(SIGN(F88-F87)*(SIGN(F88-F87)+1)/2*(F88-F87))+(SIGN(G88-G87)*(SIGN(G88-G87)+1)/2*(G88-G87))+(SIGN(H88-H87)*(SIGN(H88-H87)+1)/2*(H88-H87)))</f>
        <v>0</v>
      </c>
      <c r="Q88" s="4">
        <f>IF((P88-0.5)&gt;0,(P88-0.5)*200,0)</f>
        <v>0</v>
      </c>
    </row>
    <row r="89" spans="1:17" x14ac:dyDescent="0.2">
      <c r="B89" s="33">
        <v>2050</v>
      </c>
      <c r="I89" s="4">
        <f t="shared" si="0"/>
        <v>0</v>
      </c>
      <c r="J89">
        <f t="shared" si="1"/>
        <v>14253.947949495028</v>
      </c>
      <c r="K89" s="23">
        <f t="shared" si="2"/>
        <v>0</v>
      </c>
      <c r="L89">
        <f>(F89-F88)*160</f>
        <v>0</v>
      </c>
      <c r="M89">
        <f>IF((G89-G88)*0.1/0.5&gt;=0,(G89-G88)*0.1/0.5,0)</f>
        <v>0</v>
      </c>
      <c r="N89">
        <f>IF((H89-H88)*0.1/0.5&gt;=0,(H89-H88)*0.1/0.5,0)</f>
        <v>0</v>
      </c>
      <c r="O89">
        <f>(E89-E88)*160</f>
        <v>0</v>
      </c>
      <c r="P89">
        <f>((SIGN(C89-C88)*(SIGN(C89-C88)+1)/2*(C89-C88))+(SIGN(D89-D88)*(SIGN(D89-D88)+1)/2*(D89-D88))+(SIGN(E89-E88)*(SIGN(E89-E88)+1)/2*(E89-E88))+(SIGN(F89-F88)*(SIGN(F89-F88)+1)/2*(F89-F88))+(SIGN(G89-G88)*(SIGN(G89-G88)+1)/2*(G89-G88))+(SIGN(H89-H88)*(SIGN(H89-H88)+1)/2*(H89-H88)))</f>
        <v>0</v>
      </c>
      <c r="Q89" s="4">
        <f>IF((P89-0.5)&gt;0,(P89-0.5)*200,0)</f>
        <v>0</v>
      </c>
    </row>
    <row r="90" spans="1:17" x14ac:dyDescent="0.2">
      <c r="B90" s="33">
        <v>2051</v>
      </c>
      <c r="I90" s="4">
        <f t="shared" si="0"/>
        <v>0</v>
      </c>
      <c r="J90">
        <f t="shared" si="1"/>
        <v>14539.02690848493</v>
      </c>
      <c r="K90" s="23">
        <f t="shared" si="2"/>
        <v>0</v>
      </c>
      <c r="L90">
        <f>(F90-F89)*160</f>
        <v>0</v>
      </c>
      <c r="M90">
        <f>IF((G90-G89)*0.1/0.5&gt;=0,(G90-G89)*0.1/0.5,0)</f>
        <v>0</v>
      </c>
      <c r="N90">
        <f>IF((H90-H89)*0.1/0.5&gt;=0,(H90-H89)*0.1/0.5,0)</f>
        <v>0</v>
      </c>
      <c r="O90">
        <f>(E90-E89)*160</f>
        <v>0</v>
      </c>
      <c r="P90">
        <f>((SIGN(C90-C89)*(SIGN(C90-C89)+1)/2*(C90-C89))+(SIGN(D90-D89)*(SIGN(D90-D89)+1)/2*(D90-D89))+(SIGN(E90-E89)*(SIGN(E90-E89)+1)/2*(E90-E89))+(SIGN(F90-F89)*(SIGN(F90-F89)+1)/2*(F90-F89))+(SIGN(G90-G89)*(SIGN(G90-G89)+1)/2*(G90-G89))+(SIGN(H90-H89)*(SIGN(H90-H89)+1)/2*(H90-H89)))</f>
        <v>0</v>
      </c>
      <c r="Q90" s="4">
        <f>IF((P90-0.5)&gt;0,(P90-0.5)*200,0)</f>
        <v>0</v>
      </c>
    </row>
    <row r="91" spans="1:17" x14ac:dyDescent="0.2">
      <c r="B91" s="33">
        <v>2052</v>
      </c>
      <c r="I91" s="4">
        <f t="shared" si="0"/>
        <v>0</v>
      </c>
      <c r="J91">
        <f t="shared" si="1"/>
        <v>14829.807446654628</v>
      </c>
      <c r="K91" s="23">
        <f t="shared" si="2"/>
        <v>0</v>
      </c>
      <c r="L91">
        <f>(F91-F90)*160</f>
        <v>0</v>
      </c>
      <c r="M91">
        <f>IF((G91-G90)*0.1/0.5&gt;=0,(G91-G90)*0.1/0.5,0)</f>
        <v>0</v>
      </c>
      <c r="N91">
        <f>IF((H91-H90)*0.1/0.5&gt;=0,(H91-H90)*0.1/0.5,0)</f>
        <v>0</v>
      </c>
      <c r="O91">
        <f>(E91-E90)*160</f>
        <v>0</v>
      </c>
      <c r="P91">
        <f>((SIGN(C91-C90)*(SIGN(C91-C90)+1)/2*(C91-C90))+(SIGN(D91-D90)*(SIGN(D91-D90)+1)/2*(D91-D90))+(SIGN(E91-E90)*(SIGN(E91-E90)+1)/2*(E91-E90))+(SIGN(F91-F90)*(SIGN(F91-F90)+1)/2*(F91-F90))+(SIGN(G91-G90)*(SIGN(G91-G90)+1)/2*(G91-G90))+(SIGN(H91-H90)*(SIGN(H91-H90)+1)/2*(H91-H90)))</f>
        <v>0</v>
      </c>
      <c r="Q91" s="4">
        <f>IF((P91-0.5)&gt;0,(P91-0.5)*200,0)</f>
        <v>0</v>
      </c>
    </row>
    <row r="92" spans="1:17" x14ac:dyDescent="0.2">
      <c r="B92" s="33">
        <v>2053</v>
      </c>
      <c r="I92" s="4">
        <f t="shared" si="0"/>
        <v>0</v>
      </c>
      <c r="J92">
        <f t="shared" si="1"/>
        <v>15126.403595587721</v>
      </c>
      <c r="K92" s="23">
        <f t="shared" si="2"/>
        <v>0</v>
      </c>
      <c r="L92">
        <f>(F92-F91)*160</f>
        <v>0</v>
      </c>
      <c r="M92">
        <f>IF((G92-G91)*0.1/0.5&gt;=0,(G92-G91)*0.1/0.5,0)</f>
        <v>0</v>
      </c>
      <c r="N92">
        <f>IF((H92-H91)*0.1/0.5&gt;=0,(H92-H91)*0.1/0.5,0)</f>
        <v>0</v>
      </c>
      <c r="O92">
        <f>(E92-E91)*160</f>
        <v>0</v>
      </c>
      <c r="P92">
        <f>((SIGN(C92-C91)*(SIGN(C92-C91)+1)/2*(C92-C91))+(SIGN(D92-D91)*(SIGN(D92-D91)+1)/2*(D92-D91))+(SIGN(E92-E91)*(SIGN(E92-E91)+1)/2*(E92-E91))+(SIGN(F92-F91)*(SIGN(F92-F91)+1)/2*(F92-F91))+(SIGN(G92-G91)*(SIGN(G92-G91)+1)/2*(G92-G91))+(SIGN(H92-H91)*(SIGN(H92-H91)+1)/2*(H92-H91)))</f>
        <v>0</v>
      </c>
      <c r="Q92" s="4">
        <f>IF((P92-0.5)&gt;0,(P92-0.5)*200,0)</f>
        <v>0</v>
      </c>
    </row>
    <row r="93" spans="1:17" x14ac:dyDescent="0.2">
      <c r="B93" s="33">
        <v>2054</v>
      </c>
      <c r="I93" s="4">
        <f t="shared" si="0"/>
        <v>0</v>
      </c>
      <c r="J93">
        <f t="shared" si="1"/>
        <v>15428.931667499475</v>
      </c>
      <c r="K93" s="23">
        <f t="shared" si="2"/>
        <v>0</v>
      </c>
      <c r="L93">
        <f>(F93-F92)*160</f>
        <v>0</v>
      </c>
      <c r="M93">
        <f>IF((G93-G92)*0.1/0.5&gt;=0,(G93-G92)*0.1/0.5,0)</f>
        <v>0</v>
      </c>
      <c r="N93">
        <f>IF((H93-H92)*0.1/0.5&gt;=0,(H93-H92)*0.1/0.5,0)</f>
        <v>0</v>
      </c>
      <c r="O93">
        <f>(E93-E92)*160</f>
        <v>0</v>
      </c>
      <c r="P93">
        <f>((SIGN(C93-C92)*(SIGN(C93-C92)+1)/2*(C93-C92))+(SIGN(D93-D92)*(SIGN(D93-D92)+1)/2*(D93-D92))+(SIGN(E93-E92)*(SIGN(E93-E92)+1)/2*(E93-E92))+(SIGN(F93-F92)*(SIGN(F93-F92)+1)/2*(F93-F92))+(SIGN(G93-G92)*(SIGN(G93-G92)+1)/2*(G93-G92))+(SIGN(H93-H92)*(SIGN(H93-H92)+1)/2*(H93-H92)))</f>
        <v>0</v>
      </c>
      <c r="Q93" s="4">
        <f>IF((P93-0.5)&gt;0,(P93-0.5)*200,0)</f>
        <v>0</v>
      </c>
    </row>
    <row r="94" spans="1:17" x14ac:dyDescent="0.2">
      <c r="B94" s="33">
        <v>2055</v>
      </c>
      <c r="I94" s="4">
        <f t="shared" si="0"/>
        <v>0</v>
      </c>
      <c r="J94">
        <f t="shared" si="1"/>
        <v>15737.510300849464</v>
      </c>
      <c r="K94" s="23">
        <f t="shared" si="2"/>
        <v>0</v>
      </c>
      <c r="L94">
        <f t="shared" ref="L94:L95" si="3">(F94-F93)*160</f>
        <v>0</v>
      </c>
      <c r="M94">
        <f t="shared" ref="M94:M95" si="4">IF((G94-G93)*0.1/0.5&gt;=0,(G94-G93)*0.1/0.5,0)</f>
        <v>0</v>
      </c>
      <c r="N94">
        <f t="shared" ref="N94:N95" si="5">IF((H94-H93)*0.1/0.5&gt;=0,(H94-H93)*0.1/0.5,0)</f>
        <v>0</v>
      </c>
      <c r="O94">
        <f t="shared" ref="O94:O95" si="6">(E94-E93)*160</f>
        <v>0</v>
      </c>
      <c r="P94">
        <f t="shared" ref="P94:P95" si="7">((SIGN(C94-C93)*(SIGN(C94-C93)+1)/2*(C94-C93))+(SIGN(D94-D93)*(SIGN(D94-D93)+1)/2*(D94-D93))+(SIGN(E94-E93)*(SIGN(E94-E93)+1)/2*(E94-E93))+(SIGN(F94-F93)*(SIGN(F94-F93)+1)/2*(F94-F93))+(SIGN(G94-G93)*(SIGN(G94-G93)+1)/2*(G94-G93))+(SIGN(H94-H93)*(SIGN(H94-H93)+1)/2*(H94-H93)))</f>
        <v>0</v>
      </c>
      <c r="Q94" s="4">
        <f t="shared" ref="Q94:Q95" si="8">IF((P94-0.5)&gt;0,(P94-0.5)*200,0)</f>
        <v>0</v>
      </c>
    </row>
    <row r="95" spans="1:17" x14ac:dyDescent="0.2">
      <c r="B95" s="33">
        <v>2056</v>
      </c>
      <c r="I95" s="4">
        <f t="shared" si="0"/>
        <v>0</v>
      </c>
      <c r="J95">
        <f t="shared" si="1"/>
        <v>16052.260506866454</v>
      </c>
      <c r="K95" s="23">
        <f t="shared" si="2"/>
        <v>0</v>
      </c>
      <c r="L95">
        <f t="shared" si="3"/>
        <v>0</v>
      </c>
      <c r="M95">
        <f t="shared" si="4"/>
        <v>0</v>
      </c>
      <c r="N95">
        <f t="shared" si="5"/>
        <v>0</v>
      </c>
      <c r="O95">
        <f t="shared" si="6"/>
        <v>0</v>
      </c>
      <c r="P95">
        <f t="shared" si="7"/>
        <v>0</v>
      </c>
      <c r="Q95" s="4">
        <f t="shared" si="8"/>
        <v>0</v>
      </c>
    </row>
    <row r="96" spans="1:17" ht="42" x14ac:dyDescent="0.2">
      <c r="C96" s="8" t="s">
        <v>40</v>
      </c>
      <c r="D96" s="8" t="s">
        <v>41</v>
      </c>
      <c r="E96" s="8" t="s">
        <v>42</v>
      </c>
      <c r="F96" s="8" t="s">
        <v>45</v>
      </c>
      <c r="G96" s="8" t="s">
        <v>43</v>
      </c>
      <c r="H96" s="8" t="s">
        <v>44</v>
      </c>
      <c r="I96" s="32"/>
      <c r="L96" s="31" t="s">
        <v>89</v>
      </c>
      <c r="M96" s="31" t="s">
        <v>98</v>
      </c>
      <c r="N96" s="31" t="s">
        <v>99</v>
      </c>
      <c r="O96" s="31" t="s">
        <v>94</v>
      </c>
      <c r="P96" s="31"/>
      <c r="Q96" s="31" t="s">
        <v>93</v>
      </c>
    </row>
    <row r="97" spans="3:8" ht="15.75" x14ac:dyDescent="0.25">
      <c r="C97" s="40">
        <f>SUM(C43:C83)</f>
        <v>255.19650819244956</v>
      </c>
      <c r="D97" s="10">
        <f>SUM(D43:D78)</f>
        <v>233.38211569750004</v>
      </c>
      <c r="E97" s="10">
        <f>SUM(E43:E78)</f>
        <v>236.11403397908825</v>
      </c>
      <c r="F97" s="10"/>
      <c r="G97" s="10"/>
      <c r="H97" s="10"/>
    </row>
    <row r="101" spans="3:8" ht="15.75" x14ac:dyDescent="0.25">
      <c r="C101" s="10"/>
      <c r="D101" s="11" t="s">
        <v>62</v>
      </c>
      <c r="E101" s="10"/>
    </row>
    <row r="102" spans="3:8" x14ac:dyDescent="0.2">
      <c r="C102" s="12"/>
      <c r="D102" s="13" t="s">
        <v>105</v>
      </c>
      <c r="E102" s="12"/>
      <c r="F102" s="36"/>
    </row>
    <row r="103" spans="3:8" x14ac:dyDescent="0.2">
      <c r="C103" s="12"/>
      <c r="D103" s="13" t="s">
        <v>106</v>
      </c>
      <c r="E103" s="12"/>
      <c r="F103" s="36"/>
    </row>
    <row r="104" spans="3:8" x14ac:dyDescent="0.2">
      <c r="C104" s="12"/>
      <c r="D104" s="13" t="s">
        <v>37</v>
      </c>
      <c r="E104" s="12"/>
    </row>
    <row r="112" spans="3:8" x14ac:dyDescent="0.2">
      <c r="C112" t="s">
        <v>35</v>
      </c>
    </row>
    <row r="113" spans="3:6" x14ac:dyDescent="0.2">
      <c r="D113" t="s">
        <v>12</v>
      </c>
      <c r="E113" t="s">
        <v>13</v>
      </c>
      <c r="F113" t="s">
        <v>14</v>
      </c>
    </row>
    <row r="114" spans="3:6" x14ac:dyDescent="0.2">
      <c r="C114" t="s">
        <v>15</v>
      </c>
      <c r="D114" t="s">
        <v>16</v>
      </c>
      <c r="E114">
        <v>1700</v>
      </c>
      <c r="F114" t="s">
        <v>17</v>
      </c>
    </row>
    <row r="115" spans="3:6" x14ac:dyDescent="0.2">
      <c r="C115" t="s">
        <v>18</v>
      </c>
      <c r="D115" t="s">
        <v>19</v>
      </c>
      <c r="E115">
        <v>7800</v>
      </c>
      <c r="F115" t="s">
        <v>20</v>
      </c>
    </row>
    <row r="116" spans="3:6" x14ac:dyDescent="0.2">
      <c r="C116" t="s">
        <v>21</v>
      </c>
      <c r="D116" t="s">
        <v>22</v>
      </c>
      <c r="E116">
        <v>303</v>
      </c>
      <c r="F116" t="s">
        <v>23</v>
      </c>
    </row>
    <row r="117" spans="3:6" x14ac:dyDescent="0.2">
      <c r="C117" t="s">
        <v>24</v>
      </c>
      <c r="D117" t="s">
        <v>25</v>
      </c>
      <c r="E117">
        <v>36.6</v>
      </c>
      <c r="F117" t="s">
        <v>26</v>
      </c>
    </row>
    <row r="118" spans="3:6" x14ac:dyDescent="0.2">
      <c r="C118" t="s">
        <v>27</v>
      </c>
      <c r="D118" t="s">
        <v>28</v>
      </c>
      <c r="E118" t="s">
        <v>29</v>
      </c>
      <c r="F118" t="s">
        <v>30</v>
      </c>
    </row>
    <row r="119" spans="3:6" x14ac:dyDescent="0.2">
      <c r="C119" t="s">
        <v>31</v>
      </c>
      <c r="D119" t="s">
        <v>32</v>
      </c>
      <c r="E119" t="s">
        <v>33</v>
      </c>
      <c r="F119" t="s">
        <v>34</v>
      </c>
    </row>
  </sheetData>
  <phoneticPr fontId="17" type="noConversion"/>
  <pageMargins left="0.75" right="0.75" top="1" bottom="1" header="0.5" footer="0.5"/>
  <pageSetup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3" name="Scroll Bar 10">
              <controlPr defaultSize="0" print="0" autoPict="0">
                <anchor moveWithCells="1">
                  <from>
                    <xdr:col>0</xdr:col>
                    <xdr:colOff>2009775</xdr:colOff>
                    <xdr:row>50</xdr:row>
                    <xdr:rowOff>19050</xdr:rowOff>
                  </from>
                  <to>
                    <xdr:col>0</xdr:col>
                    <xdr:colOff>2238375</xdr:colOff>
                    <xdr:row>55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Linn-Benton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Mulder</dc:creator>
  <cp:lastModifiedBy>Greg S. Mulder</cp:lastModifiedBy>
  <cp:lastPrinted>1998-05-06T17:57:34Z</cp:lastPrinted>
  <dcterms:created xsi:type="dcterms:W3CDTF">1997-11-10T02:23:55Z</dcterms:created>
  <dcterms:modified xsi:type="dcterms:W3CDTF">2017-11-16T00:46:36Z</dcterms:modified>
</cp:coreProperties>
</file>